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filterPrivacy="1"/>
  <xr:revisionPtr revIDLastSave="0" documentId="13_ncr:1_{9A97E38E-F0A3-4CD0-AC94-6D88822046D2}" xr6:coauthVersionLast="45" xr6:coauthVersionMax="45" xr10:uidLastSave="{00000000-0000-0000-0000-000000000000}"/>
  <workbookProtection lockStructure="1"/>
  <bookViews>
    <workbookView xWindow="1230" yWindow="1120" windowWidth="19330" windowHeight="12510" xr2:uid="{00000000-000D-0000-FFFF-FFFF00000000}"/>
  </bookViews>
  <sheets>
    <sheet name="Objective_Metric" sheetId="2" r:id="rId1"/>
    <sheet name="Workings surfaced" sheetId="11" r:id="rId2"/>
    <sheet name="Lists" sheetId="4" r:id="rId3"/>
    <sheet name="Content_Platform" sheetId="1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1" l="1"/>
  <c r="B12" i="11"/>
  <c r="G8" i="11"/>
  <c r="E4" i="11"/>
  <c r="G5" i="11"/>
  <c r="G2" i="11"/>
  <c r="E2" i="11"/>
  <c r="B13" i="11"/>
  <c r="C13" i="11"/>
  <c r="B14" i="11"/>
  <c r="C14" i="11"/>
  <c r="B15" i="11"/>
  <c r="C15" i="11"/>
  <c r="B16" i="11"/>
  <c r="C16" i="11"/>
  <c r="A25" i="11"/>
  <c r="B25" i="11"/>
  <c r="C16" i="1"/>
  <c r="I15" i="1"/>
  <c r="C15" i="1"/>
  <c r="I16" i="1"/>
  <c r="H16" i="1"/>
  <c r="G16" i="1"/>
  <c r="E16" i="1"/>
  <c r="D16" i="1"/>
  <c r="F16" i="1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G39" i="11"/>
  <c r="G42" i="11"/>
  <c r="E44" i="11"/>
  <c r="E43" i="11"/>
  <c r="E42" i="11"/>
  <c r="E41" i="11"/>
  <c r="E40" i="11"/>
  <c r="E39" i="11"/>
  <c r="E9" i="11"/>
  <c r="E8" i="11"/>
  <c r="E7" i="11"/>
  <c r="E6" i="11"/>
  <c r="E5" i="11"/>
  <c r="E3" i="11"/>
  <c r="H15" i="1"/>
  <c r="G15" i="1"/>
  <c r="F15" i="1"/>
  <c r="E15" i="1"/>
  <c r="D15" i="1"/>
  <c r="B90" i="11"/>
  <c r="G45" i="11"/>
  <c r="B82" i="11"/>
  <c r="C82" i="11"/>
  <c r="B20" i="11"/>
  <c r="B60" i="11"/>
  <c r="C60" i="11"/>
  <c r="C90" i="11"/>
  <c r="B52" i="11"/>
  <c r="C52" i="11"/>
  <c r="B85" i="11"/>
  <c r="C85" i="11"/>
  <c r="B84" i="11"/>
  <c r="C84" i="11"/>
  <c r="B76" i="11"/>
  <c r="C76" i="11"/>
  <c r="B74" i="11"/>
  <c r="C74" i="11"/>
  <c r="B75" i="11"/>
  <c r="C75" i="11"/>
  <c r="B58" i="11"/>
  <c r="C58" i="11"/>
  <c r="B87" i="11"/>
  <c r="C87" i="11"/>
  <c r="B53" i="11"/>
  <c r="C53" i="11"/>
  <c r="B59" i="11"/>
  <c r="C59" i="11"/>
  <c r="B68" i="11"/>
  <c r="C68" i="11"/>
  <c r="B67" i="11"/>
  <c r="C67" i="11"/>
  <c r="B66" i="11"/>
  <c r="C66" i="11"/>
  <c r="B57" i="11"/>
  <c r="C57" i="11"/>
  <c r="B65" i="11"/>
  <c r="C65" i="11"/>
  <c r="B81" i="11"/>
  <c r="C81" i="11"/>
  <c r="B83" i="11"/>
  <c r="C83" i="11"/>
  <c r="B89" i="11"/>
  <c r="C89" i="11"/>
  <c r="B86" i="11"/>
  <c r="C86" i="11"/>
  <c r="B80" i="11"/>
  <c r="C80" i="11"/>
  <c r="B88" i="11"/>
  <c r="C88" i="11"/>
  <c r="B49" i="11"/>
  <c r="C49" i="11"/>
  <c r="B69" i="11"/>
  <c r="C69" i="11"/>
  <c r="B73" i="11"/>
  <c r="C73" i="11"/>
  <c r="B61" i="11"/>
  <c r="C61" i="11"/>
  <c r="B54" i="11"/>
  <c r="C54" i="11"/>
  <c r="B62" i="11"/>
  <c r="C62" i="11"/>
  <c r="B70" i="11"/>
  <c r="C70" i="11"/>
  <c r="B47" i="11"/>
  <c r="C47" i="11"/>
  <c r="B55" i="11"/>
  <c r="C55" i="11"/>
  <c r="B63" i="11"/>
  <c r="C63" i="11"/>
  <c r="B71" i="11"/>
  <c r="C71" i="11"/>
  <c r="B48" i="11"/>
  <c r="C48" i="11"/>
  <c r="B56" i="11"/>
  <c r="C56" i="11"/>
  <c r="B64" i="11"/>
  <c r="C64" i="11"/>
  <c r="B72" i="11"/>
  <c r="C72" i="11"/>
  <c r="B51" i="11"/>
  <c r="C51" i="11"/>
  <c r="B50" i="11"/>
  <c r="C50" i="11"/>
  <c r="B77" i="11"/>
  <c r="C77" i="11"/>
  <c r="A129" i="11"/>
  <c r="A95" i="11"/>
  <c r="C95" i="11"/>
  <c r="A130" i="11"/>
  <c r="A131" i="11"/>
  <c r="E131" i="11"/>
  <c r="B129" i="11"/>
  <c r="H95" i="11"/>
  <c r="B95" i="11"/>
  <c r="D95" i="11"/>
  <c r="E95" i="11"/>
  <c r="G95" i="11"/>
  <c r="F95" i="11"/>
  <c r="A96" i="11"/>
  <c r="E129" i="11"/>
  <c r="H129" i="11"/>
  <c r="C129" i="11"/>
  <c r="G129" i="11"/>
  <c r="F129" i="11"/>
  <c r="D129" i="11"/>
  <c r="E130" i="11"/>
  <c r="C130" i="11"/>
  <c r="F130" i="11"/>
  <c r="G130" i="11"/>
  <c r="H130" i="11"/>
  <c r="D130" i="11"/>
  <c r="B130" i="11"/>
  <c r="A132" i="11"/>
  <c r="C132" i="11"/>
  <c r="D131" i="11"/>
  <c r="H131" i="11"/>
  <c r="G131" i="11"/>
  <c r="C131" i="11"/>
  <c r="F131" i="11"/>
  <c r="B131" i="11"/>
  <c r="G96" i="11"/>
  <c r="F96" i="11"/>
  <c r="B96" i="11"/>
  <c r="D96" i="11"/>
  <c r="C96" i="11"/>
  <c r="E96" i="11"/>
  <c r="H96" i="11"/>
  <c r="A97" i="11"/>
  <c r="G132" i="11"/>
  <c r="A133" i="11"/>
  <c r="A134" i="11"/>
  <c r="C134" i="11"/>
  <c r="B132" i="11"/>
  <c r="E132" i="11"/>
  <c r="H132" i="11"/>
  <c r="F132" i="11"/>
  <c r="D132" i="11"/>
  <c r="A98" i="11"/>
  <c r="A99" i="11"/>
  <c r="E97" i="11"/>
  <c r="G97" i="11"/>
  <c r="B97" i="11"/>
  <c r="D97" i="11"/>
  <c r="H97" i="11"/>
  <c r="C97" i="11"/>
  <c r="F97" i="11"/>
  <c r="A135" i="11"/>
  <c r="D135" i="11"/>
  <c r="E134" i="11"/>
  <c r="G133" i="11"/>
  <c r="B133" i="11"/>
  <c r="D134" i="11"/>
  <c r="G134" i="11"/>
  <c r="D133" i="11"/>
  <c r="F134" i="11"/>
  <c r="B134" i="11"/>
  <c r="C133" i="11"/>
  <c r="F133" i="11"/>
  <c r="H134" i="11"/>
  <c r="H133" i="11"/>
  <c r="E133" i="11"/>
  <c r="G98" i="11"/>
  <c r="D98" i="11"/>
  <c r="F98" i="11"/>
  <c r="B98" i="11"/>
  <c r="C98" i="11"/>
  <c r="E98" i="11"/>
  <c r="H98" i="11"/>
  <c r="F99" i="11"/>
  <c r="D99" i="11"/>
  <c r="H99" i="11"/>
  <c r="B99" i="11"/>
  <c r="C99" i="11"/>
  <c r="G99" i="11"/>
  <c r="E99" i="11"/>
  <c r="A100" i="11"/>
  <c r="G135" i="11"/>
  <c r="E135" i="11"/>
  <c r="C135" i="11"/>
  <c r="A136" i="11"/>
  <c r="A137" i="11"/>
  <c r="F135" i="11"/>
  <c r="H135" i="11"/>
  <c r="B135" i="11"/>
  <c r="A101" i="11"/>
  <c r="G100" i="11"/>
  <c r="D100" i="11"/>
  <c r="B100" i="11"/>
  <c r="F100" i="11"/>
  <c r="C100" i="11"/>
  <c r="H100" i="11"/>
  <c r="E100" i="11"/>
  <c r="H137" i="11"/>
  <c r="B137" i="11"/>
  <c r="A138" i="11"/>
  <c r="G137" i="11"/>
  <c r="H136" i="11"/>
  <c r="E137" i="11"/>
  <c r="E136" i="11"/>
  <c r="D136" i="11"/>
  <c r="B136" i="11"/>
  <c r="C136" i="11"/>
  <c r="D137" i="11"/>
  <c r="C137" i="11"/>
  <c r="F136" i="11"/>
  <c r="G136" i="11"/>
  <c r="F137" i="11"/>
  <c r="E101" i="11"/>
  <c r="H101" i="11"/>
  <c r="B101" i="11"/>
  <c r="G101" i="11"/>
  <c r="D101" i="11"/>
  <c r="F101" i="11"/>
  <c r="C101" i="11"/>
  <c r="A102" i="11"/>
  <c r="G138" i="11"/>
  <c r="B138" i="11"/>
  <c r="A139" i="11"/>
  <c r="B139" i="11"/>
  <c r="E138" i="11"/>
  <c r="C138" i="11"/>
  <c r="H138" i="11"/>
  <c r="D138" i="11"/>
  <c r="F138" i="11"/>
  <c r="G102" i="11"/>
  <c r="B102" i="11"/>
  <c r="H102" i="11"/>
  <c r="F102" i="11"/>
  <c r="C102" i="11"/>
  <c r="E102" i="11"/>
  <c r="D102" i="11"/>
  <c r="A103" i="11"/>
  <c r="G139" i="11"/>
  <c r="C139" i="11"/>
  <c r="D139" i="11"/>
  <c r="E139" i="11"/>
  <c r="F139" i="11"/>
  <c r="H139" i="11"/>
  <c r="D103" i="11"/>
  <c r="E103" i="11"/>
  <c r="C103" i="11"/>
  <c r="B103" i="11"/>
  <c r="G103" i="11"/>
  <c r="F103" i="11"/>
  <c r="H103" i="11"/>
  <c r="A104" i="11"/>
  <c r="B104" i="11"/>
  <c r="H104" i="11"/>
  <c r="F104" i="11"/>
  <c r="G104" i="11"/>
  <c r="D104" i="11"/>
  <c r="E104" i="11"/>
  <c r="C104" i="11"/>
  <c r="A105" i="11"/>
  <c r="F105" i="11"/>
  <c r="G105" i="11"/>
  <c r="H105" i="11"/>
  <c r="E105" i="11"/>
  <c r="C105" i="11"/>
  <c r="B105" i="11"/>
  <c r="D105" i="11"/>
  <c r="A106" i="11"/>
  <c r="H106" i="11"/>
  <c r="F106" i="11"/>
  <c r="G106" i="11"/>
  <c r="D106" i="11"/>
  <c r="E106" i="11"/>
  <c r="B106" i="11"/>
  <c r="C106" i="11"/>
  <c r="A107" i="11"/>
  <c r="F107" i="11"/>
  <c r="C107" i="11"/>
  <c r="G107" i="11"/>
  <c r="H107" i="11"/>
  <c r="E107" i="11"/>
  <c r="B107" i="11"/>
  <c r="D107" i="11"/>
  <c r="A108" i="11"/>
  <c r="B108" i="11"/>
  <c r="C108" i="11"/>
  <c r="G108" i="11"/>
  <c r="H108" i="11"/>
  <c r="E108" i="11"/>
  <c r="F108" i="11"/>
  <c r="D108" i="11"/>
  <c r="A109" i="11"/>
  <c r="H109" i="11"/>
  <c r="G109" i="11"/>
  <c r="E109" i="11"/>
  <c r="F109" i="11"/>
  <c r="C109" i="11"/>
  <c r="D109" i="11"/>
  <c r="B109" i="11"/>
  <c r="A110" i="11"/>
  <c r="H110" i="11"/>
  <c r="F110" i="11"/>
  <c r="G110" i="11"/>
  <c r="B110" i="11"/>
  <c r="D110" i="11"/>
  <c r="E110" i="11"/>
  <c r="C110" i="11"/>
  <c r="A111" i="11"/>
  <c r="F111" i="11"/>
  <c r="G111" i="11"/>
  <c r="H111" i="11"/>
  <c r="B111" i="11"/>
  <c r="E111" i="11"/>
  <c r="C111" i="11"/>
  <c r="D111" i="11"/>
  <c r="A112" i="11"/>
  <c r="H112" i="11"/>
  <c r="F112" i="11"/>
  <c r="G112" i="11"/>
  <c r="B112" i="11"/>
  <c r="D112" i="11"/>
  <c r="E112" i="11"/>
  <c r="C112" i="11"/>
  <c r="A113" i="11"/>
  <c r="F113" i="11"/>
  <c r="G113" i="11"/>
  <c r="H113" i="11"/>
  <c r="B113" i="11"/>
  <c r="E113" i="11"/>
  <c r="C113" i="11"/>
  <c r="D113" i="11"/>
  <c r="A114" i="11"/>
  <c r="H114" i="11"/>
  <c r="F114" i="11"/>
  <c r="G114" i="11"/>
  <c r="B114" i="11"/>
  <c r="D114" i="11"/>
  <c r="E114" i="11"/>
  <c r="C114" i="11"/>
  <c r="A115" i="11"/>
  <c r="F115" i="11"/>
  <c r="C115" i="11"/>
  <c r="H115" i="11"/>
  <c r="B115" i="11"/>
  <c r="E115" i="11"/>
  <c r="G115" i="11"/>
  <c r="D115" i="11"/>
  <c r="A116" i="11"/>
  <c r="D116" i="11"/>
  <c r="E116" i="11"/>
  <c r="C116" i="11"/>
  <c r="G116" i="11"/>
  <c r="B116" i="11"/>
  <c r="H116" i="11"/>
  <c r="F116" i="11"/>
  <c r="A117" i="11"/>
  <c r="D117" i="11"/>
  <c r="E117" i="11"/>
  <c r="C117" i="11"/>
  <c r="B117" i="11"/>
  <c r="F117" i="11"/>
  <c r="G117" i="11"/>
  <c r="H117" i="11"/>
  <c r="A118" i="11"/>
  <c r="H118" i="11"/>
  <c r="F118" i="11"/>
  <c r="G118" i="11"/>
  <c r="B118" i="11"/>
  <c r="D118" i="11"/>
  <c r="E118" i="11"/>
  <c r="C118" i="11"/>
  <c r="A119" i="11"/>
  <c r="F119" i="11"/>
  <c r="G119" i="11"/>
  <c r="H119" i="11"/>
  <c r="B119" i="11"/>
  <c r="E119" i="11"/>
  <c r="C119" i="11"/>
  <c r="D119" i="11"/>
  <c r="A120" i="11"/>
  <c r="H120" i="11"/>
  <c r="F120" i="11"/>
  <c r="G120" i="11"/>
  <c r="B120" i="11"/>
  <c r="D120" i="11"/>
  <c r="E120" i="11"/>
  <c r="C120" i="11"/>
  <c r="A121" i="11"/>
  <c r="F121" i="11"/>
  <c r="G121" i="11"/>
  <c r="H121" i="11"/>
  <c r="B121" i="11"/>
  <c r="E121" i="11"/>
  <c r="C121" i="11"/>
  <c r="D121" i="11"/>
  <c r="A122" i="11"/>
  <c r="H122" i="11"/>
  <c r="F122" i="11"/>
  <c r="G122" i="11"/>
  <c r="B122" i="11"/>
  <c r="D122" i="11"/>
  <c r="E122" i="11"/>
  <c r="C122" i="11"/>
  <c r="A123" i="11"/>
  <c r="F123" i="11"/>
  <c r="C123" i="11"/>
  <c r="H123" i="11"/>
  <c r="B123" i="11"/>
  <c r="E123" i="11"/>
  <c r="G123" i="11"/>
  <c r="D123" i="11"/>
  <c r="A124" i="11"/>
  <c r="H124" i="11"/>
  <c r="F124" i="11"/>
  <c r="G124" i="11"/>
  <c r="B124" i="11"/>
  <c r="D124" i="11"/>
  <c r="E124" i="11"/>
  <c r="C124" i="11"/>
  <c r="A125" i="11"/>
  <c r="F125" i="11"/>
  <c r="G125" i="11"/>
  <c r="H125" i="11"/>
  <c r="B125" i="11"/>
  <c r="E125" i="11"/>
  <c r="C125" i="11"/>
  <c r="D125" i="11"/>
  <c r="B19" i="11"/>
  <c r="C19" i="11"/>
  <c r="C20" i="11"/>
  <c r="A33" i="11"/>
  <c r="C25" i="11"/>
  <c r="F25" i="11"/>
  <c r="J25" i="11"/>
  <c r="E25" i="11"/>
  <c r="I25" i="11"/>
  <c r="G25" i="11"/>
  <c r="D25" i="11"/>
  <c r="H25" i="11"/>
  <c r="H33" i="11"/>
  <c r="C33" i="11"/>
  <c r="G33" i="11"/>
  <c r="D33" i="11"/>
  <c r="J33" i="11"/>
  <c r="F33" i="11"/>
  <c r="I33" i="11"/>
  <c r="E33" i="11"/>
  <c r="B33" i="11"/>
  <c r="A26" i="11"/>
  <c r="A34" i="11"/>
  <c r="I26" i="11"/>
  <c r="D26" i="11"/>
  <c r="B26" i="11"/>
  <c r="H26" i="11"/>
  <c r="J26" i="11"/>
  <c r="G26" i="11"/>
  <c r="E26" i="11"/>
  <c r="F26" i="11"/>
  <c r="C26" i="11"/>
  <c r="A27" i="11"/>
  <c r="A28" i="11"/>
  <c r="H34" i="11"/>
  <c r="I34" i="11"/>
  <c r="G34" i="11"/>
  <c r="D34" i="11"/>
  <c r="C34" i="11"/>
  <c r="F34" i="11"/>
  <c r="B34" i="11"/>
  <c r="J34" i="11"/>
  <c r="E34" i="11"/>
  <c r="G28" i="11"/>
  <c r="C28" i="11"/>
  <c r="F28" i="11"/>
  <c r="B28" i="11"/>
  <c r="H28" i="11"/>
  <c r="J28" i="11"/>
  <c r="D28" i="11"/>
  <c r="E28" i="11"/>
  <c r="I28" i="11"/>
  <c r="C27" i="11"/>
  <c r="I27" i="11"/>
  <c r="E27" i="11"/>
  <c r="J27" i="11"/>
  <c r="F27" i="11"/>
  <c r="H27" i="11"/>
  <c r="B27" i="11"/>
  <c r="D27" i="11"/>
  <c r="G27" i="11"/>
  <c r="A29" i="11"/>
  <c r="D29" i="11"/>
  <c r="B29" i="11"/>
  <c r="F29" i="11"/>
  <c r="G29" i="11"/>
  <c r="H29" i="11"/>
  <c r="I29" i="11"/>
  <c r="C29" i="11"/>
  <c r="J29" i="11"/>
  <c r="E29" i="11"/>
</calcChain>
</file>

<file path=xl/sharedStrings.xml><?xml version="1.0" encoding="utf-8"?>
<sst xmlns="http://schemas.openxmlformats.org/spreadsheetml/2006/main" count="424" uniqueCount="160">
  <si>
    <t>1. What kind of content are you using?</t>
  </si>
  <si>
    <r>
      <rPr>
        <sz val="10"/>
        <color theme="7" tint="0.59999389629810485"/>
        <rFont val="Wingdings"/>
        <charset val="2"/>
      </rPr>
      <t>ò</t>
    </r>
    <r>
      <rPr>
        <i/>
        <sz val="10"/>
        <color theme="7" tint="0.59999389629810485"/>
        <rFont val="Trebuchet MS"/>
        <family val="2"/>
      </rPr>
      <t xml:space="preserve"> Select from the drop-downs </t>
    </r>
    <r>
      <rPr>
        <sz val="10"/>
        <color theme="7" tint="0.59999389629810485"/>
        <rFont val="Wingdings"/>
        <charset val="2"/>
      </rPr>
      <t>ò</t>
    </r>
  </si>
  <si>
    <t>Priority score</t>
  </si>
  <si>
    <t>Max possible relevance score</t>
  </si>
  <si>
    <t>Short moving image content (e.g video clips lasting less than two minutes)</t>
  </si>
  <si>
    <t>We don't have this type of content</t>
  </si>
  <si>
    <t>Long-form moving image content  (e.g. video clips lasting more than two minutes)</t>
  </si>
  <si>
    <t>360 video content</t>
  </si>
  <si>
    <t>Content type is medium priority</t>
  </si>
  <si>
    <t>Max possible priority score</t>
  </si>
  <si>
    <t>Static images</t>
  </si>
  <si>
    <t>Audio content</t>
  </si>
  <si>
    <t>Content type is high priority</t>
  </si>
  <si>
    <t>Short written content (e.g. brief information or updates)</t>
  </si>
  <si>
    <t>Max possible overall score</t>
  </si>
  <si>
    <t>Long-form written content (e.g. articles, press releases)</t>
  </si>
  <si>
    <t>Interactive content (e.g. polls, interactive video, games)</t>
  </si>
  <si>
    <t>Social platform relevance scores</t>
  </si>
  <si>
    <t>Score</t>
  </si>
  <si>
    <t>Index (1-100)</t>
  </si>
  <si>
    <t>Index essentially weights the expert defined "suitability" score by the user definded "relevance" score </t>
  </si>
  <si>
    <t>Facebook</t>
  </si>
  <si>
    <t>Instagram</t>
  </si>
  <si>
    <t>YouTube</t>
  </si>
  <si>
    <t>Twitter</t>
  </si>
  <si>
    <t>Pinterest</t>
  </si>
  <si>
    <t>Other platform relevance scores</t>
  </si>
  <si>
    <t>Own website</t>
  </si>
  <si>
    <t>Email</t>
  </si>
  <si>
    <t>Ranked</t>
  </si>
  <si>
    <t>Social platform</t>
  </si>
  <si>
    <t>Index</t>
  </si>
  <si>
    <t>This ranked index prioritises the most relevant/useful platforms, given the user defined content priority and the expert defined relevance scoring</t>
  </si>
  <si>
    <t>Other platforms</t>
  </si>
  <si>
    <t>2. What are your main objectives?</t>
  </si>
  <si>
    <t>Raise Awareness</t>
  </si>
  <si>
    <t>Objective is low priority</t>
  </si>
  <si>
    <t>Register for updates/follow</t>
  </si>
  <si>
    <t>Objective is high priority</t>
  </si>
  <si>
    <t>Content engagement</t>
  </si>
  <si>
    <t>This is not an objective</t>
  </si>
  <si>
    <t>Drive visits</t>
  </si>
  <si>
    <t>Drive purchases</t>
  </si>
  <si>
    <t>Fundraising</t>
  </si>
  <si>
    <t>Max possible score</t>
  </si>
  <si>
    <t>Social metrics relevance scores</t>
  </si>
  <si>
    <t>Facebook: Reach: Growth of page likes</t>
  </si>
  <si>
    <t>Facebook: Reach: Average organic reach</t>
  </si>
  <si>
    <t xml:space="preserve">Facebook: Reach: Average post reach </t>
  </si>
  <si>
    <t>Facebook: Engagement: Engagement rate</t>
  </si>
  <si>
    <t>Facebook: Engagement: Shares</t>
  </si>
  <si>
    <t xml:space="preserve"> </t>
  </si>
  <si>
    <t>Facebook: Engagement: % traffic sent to website</t>
  </si>
  <si>
    <t>Facebook: Conversion: Conversion rate from channel (GA Goals)</t>
  </si>
  <si>
    <t>Twitter: Reach: Follower Growth</t>
  </si>
  <si>
    <t>Twitter: Reach: Impressions</t>
  </si>
  <si>
    <t>Twitter: Engagement: Engagement rate</t>
  </si>
  <si>
    <t>Twitter: Engagement: RTs</t>
  </si>
  <si>
    <t>Twitter: Engagement: % traffic sent to website</t>
  </si>
  <si>
    <t>Twitter: Conversion: Conversion rate from channel (GA Goals)</t>
  </si>
  <si>
    <t xml:space="preserve">Instagram: Reach: Follower Growth </t>
  </si>
  <si>
    <t xml:space="preserve">Instagram: Reach: Reach </t>
  </si>
  <si>
    <t>Instagram: Reach: Impressions</t>
  </si>
  <si>
    <t>Instagram: Engagement: Average post engagement</t>
  </si>
  <si>
    <t>Instagram: Engagement: Forwards of Stories</t>
  </si>
  <si>
    <t>Instagram: Conversion: Conversion rate from channel (GA Goals)</t>
  </si>
  <si>
    <t>YouTube: Reach: Overall views</t>
  </si>
  <si>
    <t>YouTube: Reach: Channel subscriptions</t>
  </si>
  <si>
    <t>YouTube: Engagement: Average view duration</t>
  </si>
  <si>
    <t>YouTube: Engagement: Shares</t>
  </si>
  <si>
    <t>YouTube: Engagement: Impressions click-through rate</t>
  </si>
  <si>
    <t>YouTube: Engagement: % traffic sent to website</t>
  </si>
  <si>
    <t>YouTube: Conversion: Conversion rate from channel (GA goals)</t>
  </si>
  <si>
    <t>Pinterest: Reach: Average daily impressions (pins from profile)</t>
  </si>
  <si>
    <t>Pinterest: Reach: Average monthly viewers</t>
  </si>
  <si>
    <t>Pinterest: Engagement: Average monthly engaged</t>
  </si>
  <si>
    <t>Pinterest: Engagement: % traffic sent to website</t>
  </si>
  <si>
    <t>Pinterest: Conversion: Conversion rate from channel (GA goals)</t>
  </si>
  <si>
    <t>Other metrics relevance scores</t>
  </si>
  <si>
    <t>Website: Reach: Sessions</t>
  </si>
  <si>
    <t>Website: Reach: Users</t>
  </si>
  <si>
    <t>Website: Engagement: Time spent by site section</t>
  </si>
  <si>
    <t>Website: Conversion: Conversion rate by channel</t>
  </si>
  <si>
    <t>Website: Conversion: Goal completion</t>
  </si>
  <si>
    <t>Website: Conversion: Value of ticket sales</t>
  </si>
  <si>
    <t>Email: Reach: Subscriber total</t>
  </si>
  <si>
    <t>Email: Reach: Subscriber growth rate</t>
  </si>
  <si>
    <t>Email: Engagement: Open rate</t>
  </si>
  <si>
    <t>Email: Engagement: Click through rate</t>
  </si>
  <si>
    <t>Email: Conversion: Conversion rate from channel (GA Goals)</t>
  </si>
  <si>
    <t>This ranked index prioritises the most relevant/useful measures on each platform, given the user defined objective-content mix and the expert defined relevance scoring</t>
  </si>
  <si>
    <t>Platform</t>
  </si>
  <si>
    <t>Measure</t>
  </si>
  <si>
    <t>Objective</t>
  </si>
  <si>
    <t>Platform_Code</t>
  </si>
  <si>
    <t>Platform_Description</t>
  </si>
  <si>
    <t>Metric_code</t>
  </si>
  <si>
    <t>Metric_description</t>
  </si>
  <si>
    <t>Best objective</t>
  </si>
  <si>
    <t>F</t>
  </si>
  <si>
    <t>Reach</t>
  </si>
  <si>
    <t>Growth of page likes</t>
  </si>
  <si>
    <t>Average organic reach</t>
  </si>
  <si>
    <t xml:space="preserve">Average post reach </t>
  </si>
  <si>
    <t>Engagement</t>
  </si>
  <si>
    <t>Engagement rate</t>
  </si>
  <si>
    <t>Shares</t>
  </si>
  <si>
    <t>% traffic sent to website</t>
  </si>
  <si>
    <t>Conversion</t>
  </si>
  <si>
    <t>Conversion rate from channel (GA Goals)</t>
  </si>
  <si>
    <t>T</t>
  </si>
  <si>
    <t>Follower Growth</t>
  </si>
  <si>
    <t>Impressions</t>
  </si>
  <si>
    <t>RTs</t>
  </si>
  <si>
    <t>I</t>
  </si>
  <si>
    <t xml:space="preserve">Follower Growth </t>
  </si>
  <si>
    <t xml:space="preserve">Reach </t>
  </si>
  <si>
    <t>Average post engagement</t>
  </si>
  <si>
    <t>Forwards of Stories</t>
  </si>
  <si>
    <t>Y</t>
  </si>
  <si>
    <t>Overall views</t>
  </si>
  <si>
    <t>Channel subscriptions</t>
  </si>
  <si>
    <t>Average view duration</t>
  </si>
  <si>
    <t>Impressions click-through rate</t>
  </si>
  <si>
    <t>Conversion rate from channel (GA goals)</t>
  </si>
  <si>
    <t>P</t>
  </si>
  <si>
    <t>Average daily impressions (pins from profile)</t>
  </si>
  <si>
    <t>Average monthly viewers</t>
  </si>
  <si>
    <t>Average monthly engaged</t>
  </si>
  <si>
    <t>W</t>
  </si>
  <si>
    <t>Website</t>
  </si>
  <si>
    <t>Sessions</t>
  </si>
  <si>
    <t>Users</t>
  </si>
  <si>
    <t>Time spent by site section</t>
  </si>
  <si>
    <t>Conversion rate by channel</t>
  </si>
  <si>
    <t>Goal completion</t>
  </si>
  <si>
    <t>Value of ticket sales</t>
  </si>
  <si>
    <t>E</t>
  </si>
  <si>
    <t>Subscriber total</t>
  </si>
  <si>
    <t>Subscriber growth rate</t>
  </si>
  <si>
    <t>Open rate</t>
  </si>
  <si>
    <t>Click through rate</t>
  </si>
  <si>
    <t>Content priority</t>
  </si>
  <si>
    <t>Objective priority</t>
  </si>
  <si>
    <t>Content type is low priority</t>
  </si>
  <si>
    <t>Objective is medium priority</t>
  </si>
  <si>
    <t>Content choice</t>
  </si>
  <si>
    <t>Relevance score</t>
  </si>
  <si>
    <t>Code</t>
  </si>
  <si>
    <t>Description</t>
  </si>
  <si>
    <t>a</t>
  </si>
  <si>
    <t>b</t>
  </si>
  <si>
    <t>c</t>
  </si>
  <si>
    <t>d</t>
  </si>
  <si>
    <t>e</t>
  </si>
  <si>
    <t>f</t>
  </si>
  <si>
    <t>g</t>
  </si>
  <si>
    <t>h</t>
  </si>
  <si>
    <t>Average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</si>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</sst>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>
    <font>
      <sz val="11"/>
      <color theme="1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0"/>
      <color theme="1"/>
      <name val="Trebuchet MS"/>
      <family val="2"/>
    </font>
    <font>
      <i/>
      <sz val="10"/>
      <color theme="1"/>
      <name val="Trebuchet MS"/>
      <family val="2"/>
    </font>
    <font>
      <b/>
      <sz val="10"/>
      <color theme="0"/>
      <name val="Trebuchet MS"/>
      <family val="2"/>
    </font>
    <font>
      <sz val="10"/>
      <color theme="0"/>
      <name val="Trebuchet MS"/>
      <family val="2"/>
    </font>
    <font>
      <b/>
      <i/>
      <sz val="10"/>
      <color theme="0"/>
      <name val="Trebuchet MS"/>
      <family val="2"/>
    </font>
    <font>
      <sz val="10"/>
      <color theme="1" tint="0.79998168889431442"/>
      <name val="Trebuchet MS"/>
      <family val="2"/>
    </font>
    <font>
      <sz val="10"/>
      <color theme="0" tint="-0.14999847407452621"/>
      <name val="Trebuchet MS"/>
      <family val="2"/>
    </font>
    <font>
      <i/>
      <sz val="10"/>
      <color theme="7" tint="0.59999389629810485"/>
      <name val="Trebuchet MS"/>
      <family val="2"/>
    </font>
    <font>
      <sz val="10"/>
      <color theme="7" tint="0.59999389629810485"/>
      <name val="Wingdings"/>
      <charset val="2"/>
    </font>
    <font>
      <i/>
      <sz val="10"/>
      <color theme="7" tint="0.59999389629810485"/>
      <name val="Trebuchet MS"/>
      <family val="2"/>
      <charset val="2"/>
    </font>
    <font>
      <b/>
      <sz val="10"/>
      <color theme="1"/>
      <name val="Trebuchet MS"/>
      <family val="2"/>
    </font>
    <font>
      <sz val="11"/>
      <color theme="1"/>
      <name val="Trebuchet MS"/>
      <family val="2"/>
      <scheme val="minor"/>
    </font>
    <font>
      <b/>
      <sz val="10"/>
      <color theme="3"/>
      <name val="Trebuchet MS"/>
      <family val="2"/>
      <scheme val="major"/>
    </font>
    <font>
      <sz val="10"/>
      <color theme="1"/>
      <name val="Trebuchet MS"/>
      <family val="2"/>
      <scheme val="major"/>
    </font>
    <font>
      <b/>
      <sz val="10"/>
      <color theme="0"/>
      <name val="Trebuchet MS"/>
      <family val="2"/>
      <scheme val="major"/>
    </font>
    <font>
      <sz val="10"/>
      <color rgb="FF808080"/>
      <name val="Trebuchet MS"/>
      <family val="2"/>
    </font>
    <font>
      <sz val="10"/>
      <color theme="5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4.9989318521683403E-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4.9989318521683403E-2"/>
      </bottom>
      <diagonal/>
    </border>
    <border>
      <left style="thin">
        <color theme="0" tint="-0.1499679555650502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1499679555650502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/>
      <top style="thin">
        <color theme="0" tint="-4.9989318521683403E-2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4.9989318521683403E-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1" tint="0.39994506668294322"/>
      </left>
      <right style="thin">
        <color theme="1" tint="0.39994506668294322"/>
      </right>
      <top/>
      <bottom/>
      <diagonal/>
    </border>
    <border>
      <left style="thin">
        <color theme="1" tint="0.39994506668294322"/>
      </left>
      <right style="thin">
        <color theme="1" tint="0.399945066682943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1" tint="0.399945066682943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1" tint="0.39994506668294322"/>
      </right>
      <top/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0" xfId="0" applyFont="1" applyFill="1"/>
    <xf numFmtId="0" fontId="5" fillId="3" borderId="0" xfId="0" applyFont="1" applyFill="1"/>
    <xf numFmtId="165" fontId="2" fillId="0" borderId="0" xfId="0" applyNumberFormat="1" applyFont="1"/>
    <xf numFmtId="0" fontId="4" fillId="4" borderId="0" xfId="0" applyFont="1" applyFill="1"/>
    <xf numFmtId="0" fontId="5" fillId="4" borderId="0" xfId="0" applyFont="1" applyFill="1"/>
    <xf numFmtId="165" fontId="4" fillId="2" borderId="0" xfId="0" applyNumberFormat="1" applyFont="1" applyFill="1"/>
    <xf numFmtId="165" fontId="5" fillId="2" borderId="0" xfId="0" applyNumberFormat="1" applyFont="1" applyFill="1"/>
    <xf numFmtId="0" fontId="4" fillId="5" borderId="0" xfId="0" applyFont="1" applyFill="1"/>
    <xf numFmtId="0" fontId="5" fillId="5" borderId="0" xfId="0" applyFont="1" applyFill="1"/>
    <xf numFmtId="0" fontId="1" fillId="0" borderId="0" xfId="0" applyFont="1"/>
    <xf numFmtId="0" fontId="7" fillId="0" borderId="0" xfId="0" applyFont="1"/>
    <xf numFmtId="0" fontId="8" fillId="0" borderId="0" xfId="0" applyFont="1"/>
    <xf numFmtId="0" fontId="6" fillId="2" borderId="2" xfId="0" applyFont="1" applyFill="1" applyBorder="1"/>
    <xf numFmtId="0" fontId="11" fillId="2" borderId="3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left" vertical="center" wrapText="1"/>
    </xf>
    <xf numFmtId="0" fontId="6" fillId="2" borderId="4" xfId="0" applyFont="1" applyFill="1" applyBorder="1"/>
    <xf numFmtId="0" fontId="4" fillId="8" borderId="0" xfId="0" applyFont="1" applyFill="1"/>
    <xf numFmtId="2" fontId="2" fillId="0" borderId="0" xfId="0" applyNumberFormat="1" applyFont="1"/>
    <xf numFmtId="0" fontId="12" fillId="0" borderId="0" xfId="0" applyFont="1"/>
    <xf numFmtId="164" fontId="2" fillId="0" borderId="0" xfId="0" applyNumberFormat="1" applyFont="1"/>
    <xf numFmtId="0" fontId="14" fillId="9" borderId="0" xfId="0" applyFont="1" applyFill="1" applyAlignment="1">
      <alignment horizontal="left"/>
    </xf>
    <xf numFmtId="9" fontId="15" fillId="9" borderId="0" xfId="1" applyFont="1" applyFill="1"/>
    <xf numFmtId="0" fontId="5" fillId="8" borderId="0" xfId="0" applyFont="1" applyFill="1"/>
    <xf numFmtId="164" fontId="2" fillId="0" borderId="11" xfId="0" applyNumberFormat="1" applyFont="1" applyBorder="1"/>
    <xf numFmtId="164" fontId="2" fillId="0" borderId="13" xfId="0" applyNumberFormat="1" applyFont="1" applyBorder="1"/>
    <xf numFmtId="0" fontId="15" fillId="9" borderId="12" xfId="0" applyFont="1" applyFill="1" applyBorder="1" applyAlignment="1">
      <alignment horizontal="left" vertical="center"/>
    </xf>
    <xf numFmtId="3" fontId="16" fillId="2" borderId="14" xfId="0" applyNumberFormat="1" applyFont="1" applyFill="1" applyBorder="1" applyAlignment="1">
      <alignment horizontal="center" vertical="center" wrapText="1"/>
    </xf>
    <xf numFmtId="3" fontId="15" fillId="0" borderId="15" xfId="1" applyNumberFormat="1" applyFont="1" applyBorder="1" applyAlignment="1">
      <alignment horizontal="center" vertical="center"/>
    </xf>
    <xf numFmtId="0" fontId="16" fillId="2" borderId="17" xfId="0" applyFont="1" applyFill="1" applyBorder="1" applyAlignment="1">
      <alignment horizontal="left" wrapText="1"/>
    </xf>
    <xf numFmtId="0" fontId="16" fillId="2" borderId="16" xfId="0" applyFont="1" applyFill="1" applyBorder="1" applyAlignment="1">
      <alignment horizontal="left" wrapText="1"/>
    </xf>
    <xf numFmtId="0" fontId="3" fillId="7" borderId="1" xfId="0" applyFont="1" applyFill="1" applyBorder="1"/>
    <xf numFmtId="0" fontId="2" fillId="6" borderId="1" xfId="0" applyFont="1" applyFill="1" applyBorder="1"/>
    <xf numFmtId="164" fontId="2" fillId="6" borderId="1" xfId="0" applyNumberFormat="1" applyFont="1" applyFill="1" applyBorder="1"/>
    <xf numFmtId="1" fontId="2" fillId="6" borderId="1" xfId="0" applyNumberFormat="1" applyFont="1" applyFill="1" applyBorder="1"/>
    <xf numFmtId="0" fontId="2" fillId="7" borderId="0" xfId="0" applyFont="1" applyFill="1"/>
    <xf numFmtId="0" fontId="8" fillId="7" borderId="0" xfId="0" applyFont="1" applyFill="1"/>
    <xf numFmtId="0" fontId="17" fillId="0" borderId="0" xfId="0" applyFont="1"/>
    <xf numFmtId="0" fontId="18" fillId="0" borderId="0" xfId="0" applyFont="1"/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2">
    <dxf>
      <fill>
        <patternFill>
          <bgColor theme="2" tint="0.79998168889431442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  <horizontal/>
      </border>
    </dxf>
    <dxf>
      <fill>
        <patternFill>
          <bgColor theme="2" tint="0.79998168889431442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AA Excel">
  <a:themeElements>
    <a:clrScheme name="TAA Colours">
      <a:dk1>
        <a:srgbClr val="6F6F6E"/>
      </a:dk1>
      <a:lt1>
        <a:sysClr val="window" lastClr="FFFFFF"/>
      </a:lt1>
      <a:dk2>
        <a:srgbClr val="B9348B"/>
      </a:dk2>
      <a:lt2>
        <a:srgbClr val="F2E61A"/>
      </a:lt2>
      <a:accent1>
        <a:srgbClr val="2DB8C5"/>
      </a:accent1>
      <a:accent2>
        <a:srgbClr val="E94E1B"/>
      </a:accent2>
      <a:accent3>
        <a:srgbClr val="D50C52"/>
      </a:accent3>
      <a:accent4>
        <a:srgbClr val="19BC9C"/>
      </a:accent4>
      <a:accent5>
        <a:srgbClr val="F08597"/>
      </a:accent5>
      <a:accent6>
        <a:srgbClr val="636AAF"/>
      </a:accent6>
      <a:hlink>
        <a:srgbClr val="703157"/>
      </a:hlink>
      <a:folHlink>
        <a:srgbClr val="703157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58089-9AD0-480D-995A-2251A7E11710}">
  <dimension ref="A1:M48"/>
  <sheetViews>
    <sheetView tabSelected="1" topLeftCell="D1" zoomScaleNormal="100" workbookViewId="0">
      <selection activeCell="E3" sqref="E3"/>
    </sheetView>
  </sheetViews>
  <sheetFormatPr defaultColWidth="9" defaultRowHeight="13.5"/>
  <cols>
    <col min="1" max="1" width="9" style="1"/>
    <col min="2" max="2" width="9.25" style="1" bestFit="1" customWidth="1"/>
    <col min="3" max="3" width="11.25" style="1" bestFit="1" customWidth="1"/>
    <col min="4" max="4" width="11.25" style="1" customWidth="1"/>
    <col min="5" max="5" width="39.25" style="1" bestFit="1" customWidth="1"/>
    <col min="6" max="6" width="39.25" style="1" customWidth="1"/>
    <col min="7" max="12" width="11.25" style="6" customWidth="1"/>
    <col min="13" max="13" width="22.5" style="1" bestFit="1" customWidth="1"/>
    <col min="14" max="16384" width="9" style="1"/>
  </cols>
  <sheetData>
    <row r="1" spans="1:13">
      <c r="A1" s="4" t="s">
        <v>91</v>
      </c>
      <c r="B1" s="5"/>
      <c r="C1" s="7" t="s">
        <v>92</v>
      </c>
      <c r="D1" s="8"/>
      <c r="E1" s="8"/>
      <c r="F1" s="8"/>
      <c r="G1" s="9" t="s">
        <v>93</v>
      </c>
      <c r="H1" s="10"/>
      <c r="I1" s="10"/>
      <c r="J1" s="10"/>
      <c r="K1" s="10"/>
      <c r="L1" s="10"/>
      <c r="M1" s="21"/>
    </row>
    <row r="2" spans="1:13">
      <c r="A2" s="5" t="s">
        <v>94</v>
      </c>
      <c r="B2" s="5" t="s">
        <v>95</v>
      </c>
      <c r="C2" s="8" t="s">
        <v>92</v>
      </c>
      <c r="D2" s="8" t="s">
        <v>96</v>
      </c>
      <c r="E2" s="8" t="s">
        <v>97</v>
      </c>
      <c r="F2" s="8"/>
      <c r="G2" s="10" t="s">
        <v>35</v>
      </c>
      <c r="H2" s="10" t="s">
        <v>37</v>
      </c>
      <c r="I2" s="10" t="s">
        <v>39</v>
      </c>
      <c r="J2" s="10" t="s">
        <v>41</v>
      </c>
      <c r="K2" s="10" t="s">
        <v>42</v>
      </c>
      <c r="L2" s="10" t="s">
        <v>43</v>
      </c>
      <c r="M2" s="21" t="s">
        <v>98</v>
      </c>
    </row>
    <row r="3" spans="1:13">
      <c r="A3" s="1" t="s">
        <v>99</v>
      </c>
      <c r="B3" s="1" t="s">
        <v>21</v>
      </c>
      <c r="C3" s="1" t="s">
        <v>100</v>
      </c>
      <c r="D3" s="1">
        <v>1</v>
      </c>
      <c r="E3" s="1" t="s">
        <v>101</v>
      </c>
      <c r="F3" s="1" t="str">
        <f>CONCATENATE(B3,": ",C3,": ",E3)</f>
        <v>Facebook: Reach: Growth of page likes</v>
      </c>
      <c r="G3" s="6">
        <v>2.3333333333333335</v>
      </c>
      <c r="H3" s="6">
        <v>2.3333333333333335</v>
      </c>
      <c r="I3" s="6">
        <v>0.66666666666666663</v>
      </c>
      <c r="J3" s="6">
        <v>1</v>
      </c>
      <c r="K3" s="6">
        <v>0.66666666666666663</v>
      </c>
      <c r="L3" s="6">
        <v>0.33333333333333331</v>
      </c>
      <c r="M3" s="6" t="s">
        <v>35</v>
      </c>
    </row>
    <row r="4" spans="1:13">
      <c r="A4" s="1" t="s">
        <v>99</v>
      </c>
      <c r="B4" s="1" t="s">
        <v>21</v>
      </c>
      <c r="C4" s="1" t="s">
        <v>100</v>
      </c>
      <c r="D4" s="1">
        <v>2</v>
      </c>
      <c r="E4" s="1" t="s">
        <v>102</v>
      </c>
      <c r="F4" s="1" t="str">
        <f t="shared" ref="F4:F44" si="0">CONCATENATE(B4,": ",C4,": ",E4)</f>
        <v>Facebook: Reach: Average organic reach</v>
      </c>
      <c r="G4" s="6">
        <v>2.3333333333333335</v>
      </c>
      <c r="H4" s="6">
        <v>1.3333333333333333</v>
      </c>
      <c r="I4" s="6">
        <v>1</v>
      </c>
      <c r="J4" s="6">
        <v>0.66666666666666663</v>
      </c>
      <c r="K4" s="6">
        <v>0.66666666666666663</v>
      </c>
      <c r="L4" s="6">
        <v>1</v>
      </c>
      <c r="M4" s="6" t="s">
        <v>35</v>
      </c>
    </row>
    <row r="5" spans="1:13">
      <c r="A5" s="1" t="s">
        <v>99</v>
      </c>
      <c r="B5" s="1" t="s">
        <v>21</v>
      </c>
      <c r="C5" s="1" t="s">
        <v>100</v>
      </c>
      <c r="D5" s="1">
        <v>3</v>
      </c>
      <c r="E5" s="1" t="s">
        <v>103</v>
      </c>
      <c r="F5" s="1" t="str">
        <f t="shared" si="0"/>
        <v xml:space="preserve">Facebook: Reach: Average post reach </v>
      </c>
      <c r="G5" s="6">
        <v>2.6666666666666665</v>
      </c>
      <c r="H5" s="6">
        <v>1.3333333333333333</v>
      </c>
      <c r="I5" s="6">
        <v>1.3333333333333333</v>
      </c>
      <c r="J5" s="6">
        <v>0.66666666666666663</v>
      </c>
      <c r="K5" s="6">
        <v>0.66666666666666663</v>
      </c>
      <c r="L5" s="6">
        <v>1</v>
      </c>
      <c r="M5" s="6" t="s">
        <v>35</v>
      </c>
    </row>
    <row r="6" spans="1:13">
      <c r="A6" s="1" t="s">
        <v>99</v>
      </c>
      <c r="B6" s="1" t="s">
        <v>21</v>
      </c>
      <c r="C6" s="1" t="s">
        <v>104</v>
      </c>
      <c r="D6" s="1">
        <v>4</v>
      </c>
      <c r="E6" s="1" t="s">
        <v>105</v>
      </c>
      <c r="F6" s="1" t="str">
        <f t="shared" si="0"/>
        <v>Facebook: Engagement: Engagement rate</v>
      </c>
      <c r="G6" s="6">
        <v>2</v>
      </c>
      <c r="H6" s="6">
        <v>2</v>
      </c>
      <c r="I6" s="6">
        <v>3</v>
      </c>
      <c r="J6" s="6">
        <v>2</v>
      </c>
      <c r="K6" s="6">
        <v>2</v>
      </c>
      <c r="L6" s="6">
        <v>1.3333333333333333</v>
      </c>
      <c r="M6" s="6" t="s">
        <v>39</v>
      </c>
    </row>
    <row r="7" spans="1:13">
      <c r="A7" s="1" t="s">
        <v>99</v>
      </c>
      <c r="B7" s="1" t="s">
        <v>21</v>
      </c>
      <c r="C7" s="1" t="s">
        <v>104</v>
      </c>
      <c r="D7" s="1">
        <v>5</v>
      </c>
      <c r="E7" s="1" t="s">
        <v>106</v>
      </c>
      <c r="F7" s="1" t="str">
        <f t="shared" si="0"/>
        <v>Facebook: Engagement: Shares</v>
      </c>
      <c r="G7" s="6">
        <v>2.6666666666666665</v>
      </c>
      <c r="H7" s="6">
        <v>1.3333333333333333</v>
      </c>
      <c r="I7" s="6">
        <v>2.6666666666666665</v>
      </c>
      <c r="J7" s="6">
        <v>2</v>
      </c>
      <c r="K7" s="6">
        <v>1</v>
      </c>
      <c r="L7" s="6">
        <v>1.6666666666666667</v>
      </c>
      <c r="M7" s="6" t="s">
        <v>35</v>
      </c>
    </row>
    <row r="8" spans="1:13">
      <c r="A8" s="1" t="s">
        <v>99</v>
      </c>
      <c r="B8" s="1" t="s">
        <v>21</v>
      </c>
      <c r="C8" s="1" t="s">
        <v>104</v>
      </c>
      <c r="D8" s="1">
        <v>6</v>
      </c>
      <c r="E8" s="1" t="s">
        <v>107</v>
      </c>
      <c r="F8" s="1" t="str">
        <f t="shared" si="0"/>
        <v>Facebook: Engagement: % traffic sent to website</v>
      </c>
      <c r="G8" s="6">
        <v>2.6666666666666665</v>
      </c>
      <c r="H8" s="6">
        <v>2.3333333333333335</v>
      </c>
      <c r="I8" s="6">
        <v>1.3333333333333333</v>
      </c>
      <c r="J8" s="6">
        <v>2.6666666666666665</v>
      </c>
      <c r="K8" s="6">
        <v>2</v>
      </c>
      <c r="L8" s="6">
        <v>2</v>
      </c>
      <c r="M8" s="6" t="s">
        <v>35</v>
      </c>
    </row>
    <row r="9" spans="1:13">
      <c r="A9" s="1" t="s">
        <v>99</v>
      </c>
      <c r="B9" s="1" t="s">
        <v>21</v>
      </c>
      <c r="C9" s="1" t="s">
        <v>108</v>
      </c>
      <c r="D9" s="1">
        <v>7</v>
      </c>
      <c r="E9" s="1" t="s">
        <v>109</v>
      </c>
      <c r="F9" s="1" t="str">
        <f t="shared" si="0"/>
        <v>Facebook: Conversion: Conversion rate from channel (GA Goals)</v>
      </c>
      <c r="G9" s="6">
        <v>2</v>
      </c>
      <c r="H9" s="6">
        <v>2.6666666666666665</v>
      </c>
      <c r="I9" s="6">
        <v>1</v>
      </c>
      <c r="J9" s="6">
        <v>2.6666666666666665</v>
      </c>
      <c r="K9" s="6">
        <v>2.6666666666666665</v>
      </c>
      <c r="L9" s="6">
        <v>2.6666666666666665</v>
      </c>
      <c r="M9" s="6" t="s">
        <v>37</v>
      </c>
    </row>
    <row r="10" spans="1:13">
      <c r="A10" s="1" t="s">
        <v>110</v>
      </c>
      <c r="B10" s="1" t="s">
        <v>24</v>
      </c>
      <c r="C10" s="1" t="s">
        <v>100</v>
      </c>
      <c r="D10" s="1">
        <v>8</v>
      </c>
      <c r="E10" s="1" t="s">
        <v>111</v>
      </c>
      <c r="F10" s="1" t="str">
        <f t="shared" si="0"/>
        <v>Twitter: Reach: Follower Growth</v>
      </c>
      <c r="G10" s="6">
        <v>2.3333333333333335</v>
      </c>
      <c r="H10" s="6">
        <v>2.3333333333333335</v>
      </c>
      <c r="I10" s="6">
        <v>1</v>
      </c>
      <c r="J10" s="6">
        <v>0.66666666666666663</v>
      </c>
      <c r="K10" s="6">
        <v>0.66666666666666663</v>
      </c>
      <c r="L10" s="6">
        <v>0.66666666666666663</v>
      </c>
      <c r="M10" s="6" t="s">
        <v>35</v>
      </c>
    </row>
    <row r="11" spans="1:13">
      <c r="A11" s="1" t="s">
        <v>110</v>
      </c>
      <c r="B11" s="1" t="s">
        <v>24</v>
      </c>
      <c r="C11" s="1" t="s">
        <v>100</v>
      </c>
      <c r="D11" s="1">
        <v>9</v>
      </c>
      <c r="E11" s="1" t="s">
        <v>112</v>
      </c>
      <c r="F11" s="1" t="str">
        <f t="shared" si="0"/>
        <v>Twitter: Reach: Impressions</v>
      </c>
      <c r="G11" s="6">
        <v>1.6666666666666667</v>
      </c>
      <c r="H11" s="6">
        <v>1.3333333333333333</v>
      </c>
      <c r="I11" s="6">
        <v>1</v>
      </c>
      <c r="J11" s="6">
        <v>0.33333333333333331</v>
      </c>
      <c r="K11" s="6">
        <v>0.33333333333333331</v>
      </c>
      <c r="L11" s="6">
        <v>0.33333333333333331</v>
      </c>
      <c r="M11" s="6" t="s">
        <v>35</v>
      </c>
    </row>
    <row r="12" spans="1:13">
      <c r="A12" s="1" t="s">
        <v>110</v>
      </c>
      <c r="B12" s="1" t="s">
        <v>24</v>
      </c>
      <c r="C12" s="1" t="s">
        <v>104</v>
      </c>
      <c r="D12" s="1">
        <v>10</v>
      </c>
      <c r="E12" s="1" t="s">
        <v>105</v>
      </c>
      <c r="F12" s="1" t="str">
        <f t="shared" si="0"/>
        <v>Twitter: Engagement: Engagement rate</v>
      </c>
      <c r="G12" s="6">
        <v>2</v>
      </c>
      <c r="H12" s="6">
        <v>2</v>
      </c>
      <c r="I12" s="6">
        <v>3</v>
      </c>
      <c r="J12" s="6">
        <v>2</v>
      </c>
      <c r="K12" s="6">
        <v>2</v>
      </c>
      <c r="L12" s="6">
        <v>1</v>
      </c>
      <c r="M12" s="6" t="s">
        <v>39</v>
      </c>
    </row>
    <row r="13" spans="1:13">
      <c r="A13" s="1" t="s">
        <v>110</v>
      </c>
      <c r="B13" s="1" t="s">
        <v>24</v>
      </c>
      <c r="C13" s="1" t="s">
        <v>104</v>
      </c>
      <c r="D13" s="1">
        <v>11</v>
      </c>
      <c r="E13" s="1" t="s">
        <v>113</v>
      </c>
      <c r="F13" s="1" t="str">
        <f t="shared" si="0"/>
        <v>Twitter: Engagement: RTs</v>
      </c>
      <c r="G13" s="6">
        <v>3</v>
      </c>
      <c r="H13" s="6">
        <v>1.3333333333333333</v>
      </c>
      <c r="I13" s="6">
        <v>3</v>
      </c>
      <c r="J13" s="6">
        <v>1</v>
      </c>
      <c r="K13" s="6">
        <v>0.66666666666666663</v>
      </c>
      <c r="L13" s="6">
        <v>1</v>
      </c>
      <c r="M13" s="6" t="s">
        <v>35</v>
      </c>
    </row>
    <row r="14" spans="1:13">
      <c r="A14" s="1" t="s">
        <v>110</v>
      </c>
      <c r="B14" s="1" t="s">
        <v>24</v>
      </c>
      <c r="C14" s="1" t="s">
        <v>104</v>
      </c>
      <c r="D14" s="1">
        <v>12</v>
      </c>
      <c r="E14" s="1" t="s">
        <v>107</v>
      </c>
      <c r="F14" s="1" t="str">
        <f t="shared" si="0"/>
        <v>Twitter: Engagement: % traffic sent to website</v>
      </c>
      <c r="G14" s="6">
        <v>2.6666666666666665</v>
      </c>
      <c r="H14" s="6">
        <v>2</v>
      </c>
      <c r="I14" s="6">
        <v>2</v>
      </c>
      <c r="J14" s="6">
        <v>2.6666666666666665</v>
      </c>
      <c r="K14" s="6">
        <v>2</v>
      </c>
      <c r="L14" s="6">
        <v>1.3333333333333333</v>
      </c>
      <c r="M14" s="6" t="s">
        <v>35</v>
      </c>
    </row>
    <row r="15" spans="1:13">
      <c r="A15" s="1" t="s">
        <v>110</v>
      </c>
      <c r="B15" s="1" t="s">
        <v>24</v>
      </c>
      <c r="C15" s="1" t="s">
        <v>108</v>
      </c>
      <c r="D15" s="1">
        <v>13</v>
      </c>
      <c r="E15" s="1" t="s">
        <v>109</v>
      </c>
      <c r="F15" s="1" t="str">
        <f t="shared" si="0"/>
        <v>Twitter: Conversion: Conversion rate from channel (GA Goals)</v>
      </c>
      <c r="G15" s="6">
        <v>1.6666666666666667</v>
      </c>
      <c r="H15" s="6">
        <v>2</v>
      </c>
      <c r="I15" s="6">
        <v>1.6666666666666667</v>
      </c>
      <c r="J15" s="6">
        <v>2.6666666666666665</v>
      </c>
      <c r="K15" s="6">
        <v>3</v>
      </c>
      <c r="L15" s="6">
        <v>2.6666666666666665</v>
      </c>
      <c r="M15" s="6" t="s">
        <v>42</v>
      </c>
    </row>
    <row r="16" spans="1:13">
      <c r="A16" s="1" t="s">
        <v>114</v>
      </c>
      <c r="B16" s="1" t="s">
        <v>22</v>
      </c>
      <c r="C16" s="1" t="s">
        <v>100</v>
      </c>
      <c r="D16" s="1">
        <v>14</v>
      </c>
      <c r="E16" s="1" t="s">
        <v>115</v>
      </c>
      <c r="F16" s="1" t="str">
        <f t="shared" si="0"/>
        <v xml:space="preserve">Instagram: Reach: Follower Growth </v>
      </c>
      <c r="G16" s="6">
        <v>2.6666666666666665</v>
      </c>
      <c r="H16" s="6">
        <v>3</v>
      </c>
      <c r="I16" s="6">
        <v>1.3333333333333333</v>
      </c>
      <c r="J16" s="6">
        <v>0.33333333333333331</v>
      </c>
      <c r="K16" s="6">
        <v>0.66666666666666663</v>
      </c>
      <c r="L16" s="6">
        <v>0.33333333333333331</v>
      </c>
      <c r="M16" s="6" t="s">
        <v>37</v>
      </c>
    </row>
    <row r="17" spans="1:13">
      <c r="A17" s="1" t="s">
        <v>114</v>
      </c>
      <c r="B17" s="1" t="s">
        <v>22</v>
      </c>
      <c r="C17" s="1" t="s">
        <v>100</v>
      </c>
      <c r="D17" s="1">
        <v>15</v>
      </c>
      <c r="E17" s="1" t="s">
        <v>116</v>
      </c>
      <c r="F17" s="1" t="str">
        <f t="shared" si="0"/>
        <v xml:space="preserve">Instagram: Reach: Reach </v>
      </c>
      <c r="G17" s="6">
        <v>2.6666666666666665</v>
      </c>
      <c r="H17" s="6">
        <v>1.6666666666666667</v>
      </c>
      <c r="I17" s="6">
        <v>1</v>
      </c>
      <c r="J17" s="6">
        <v>0.33333333333333331</v>
      </c>
      <c r="K17" s="6">
        <v>0.33333333333333331</v>
      </c>
      <c r="L17" s="6">
        <v>0.33333333333333331</v>
      </c>
      <c r="M17" s="6" t="s">
        <v>35</v>
      </c>
    </row>
    <row r="18" spans="1:13">
      <c r="A18" s="1" t="s">
        <v>114</v>
      </c>
      <c r="B18" s="1" t="s">
        <v>22</v>
      </c>
      <c r="C18" s="1" t="s">
        <v>100</v>
      </c>
      <c r="D18" s="1">
        <v>16</v>
      </c>
      <c r="E18" s="1" t="s">
        <v>112</v>
      </c>
      <c r="F18" s="1" t="str">
        <f t="shared" si="0"/>
        <v>Instagram: Reach: Impressions</v>
      </c>
      <c r="G18" s="6">
        <v>1.6666666666666667</v>
      </c>
      <c r="H18" s="6">
        <v>0.66666666666666663</v>
      </c>
      <c r="I18" s="6">
        <v>1</v>
      </c>
      <c r="J18" s="6">
        <v>0.33333333333333331</v>
      </c>
      <c r="K18" s="6">
        <v>0.33333333333333331</v>
      </c>
      <c r="L18" s="6">
        <v>0</v>
      </c>
      <c r="M18" s="6" t="s">
        <v>35</v>
      </c>
    </row>
    <row r="19" spans="1:13">
      <c r="A19" s="1" t="s">
        <v>114</v>
      </c>
      <c r="B19" s="1" t="s">
        <v>22</v>
      </c>
      <c r="C19" s="1" t="s">
        <v>104</v>
      </c>
      <c r="D19" s="1">
        <v>17</v>
      </c>
      <c r="E19" s="1" t="s">
        <v>117</v>
      </c>
      <c r="F19" s="1" t="str">
        <f t="shared" si="0"/>
        <v>Instagram: Engagement: Average post engagement</v>
      </c>
      <c r="G19" s="6">
        <v>2</v>
      </c>
      <c r="H19" s="6">
        <v>2</v>
      </c>
      <c r="I19" s="6">
        <v>3</v>
      </c>
      <c r="J19" s="6">
        <v>1</v>
      </c>
      <c r="K19" s="6">
        <v>1</v>
      </c>
      <c r="L19" s="6">
        <v>1.3333333333333333</v>
      </c>
      <c r="M19" s="6" t="s">
        <v>39</v>
      </c>
    </row>
    <row r="20" spans="1:13">
      <c r="A20" s="1" t="s">
        <v>114</v>
      </c>
      <c r="B20" s="1" t="s">
        <v>22</v>
      </c>
      <c r="C20" s="1" t="s">
        <v>104</v>
      </c>
      <c r="D20" s="1">
        <v>18</v>
      </c>
      <c r="E20" s="1" t="s">
        <v>118</v>
      </c>
      <c r="F20" s="1" t="str">
        <f t="shared" si="0"/>
        <v>Instagram: Engagement: Forwards of Stories</v>
      </c>
      <c r="G20" s="6">
        <v>2.3333333333333335</v>
      </c>
      <c r="H20" s="6">
        <v>1.3333333333333333</v>
      </c>
      <c r="I20" s="6">
        <v>2.6666666666666665</v>
      </c>
      <c r="J20" s="6">
        <v>1</v>
      </c>
      <c r="K20" s="6">
        <v>1</v>
      </c>
      <c r="L20" s="6">
        <v>1.3333333333333333</v>
      </c>
      <c r="M20" s="6" t="s">
        <v>39</v>
      </c>
    </row>
    <row r="21" spans="1:13">
      <c r="A21" s="1" t="s">
        <v>114</v>
      </c>
      <c r="B21" s="1" t="s">
        <v>22</v>
      </c>
      <c r="C21" s="1" t="s">
        <v>108</v>
      </c>
      <c r="D21" s="1">
        <v>19</v>
      </c>
      <c r="E21" s="1" t="s">
        <v>109</v>
      </c>
      <c r="F21" s="1" t="str">
        <f t="shared" si="0"/>
        <v>Instagram: Conversion: Conversion rate from channel (GA Goals)</v>
      </c>
      <c r="G21" s="6">
        <v>1.6666666666666667</v>
      </c>
      <c r="H21" s="6">
        <v>1</v>
      </c>
      <c r="I21" s="6">
        <v>0.66666666666666663</v>
      </c>
      <c r="J21" s="6">
        <v>2</v>
      </c>
      <c r="K21" s="6">
        <v>2.6666666666666665</v>
      </c>
      <c r="L21" s="6">
        <v>2.6666666666666665</v>
      </c>
      <c r="M21" s="6" t="s">
        <v>42</v>
      </c>
    </row>
    <row r="22" spans="1:13">
      <c r="A22" s="1" t="s">
        <v>119</v>
      </c>
      <c r="B22" s="1" t="s">
        <v>23</v>
      </c>
      <c r="C22" s="1" t="s">
        <v>100</v>
      </c>
      <c r="D22" s="1">
        <v>20</v>
      </c>
      <c r="E22" s="1" t="s">
        <v>120</v>
      </c>
      <c r="F22" s="1" t="str">
        <f t="shared" si="0"/>
        <v>YouTube: Reach: Overall views</v>
      </c>
      <c r="G22" s="6">
        <v>2.6666666666666665</v>
      </c>
      <c r="H22" s="6">
        <v>0.66666666666666663</v>
      </c>
      <c r="I22" s="6">
        <v>2.3333333333333335</v>
      </c>
      <c r="J22" s="6">
        <v>0.66666666666666663</v>
      </c>
      <c r="K22" s="6">
        <v>0.66666666666666663</v>
      </c>
      <c r="L22" s="6">
        <v>1</v>
      </c>
      <c r="M22" s="6" t="s">
        <v>35</v>
      </c>
    </row>
    <row r="23" spans="1:13">
      <c r="A23" s="1" t="s">
        <v>119</v>
      </c>
      <c r="B23" s="1" t="s">
        <v>23</v>
      </c>
      <c r="C23" s="1" t="s">
        <v>100</v>
      </c>
      <c r="D23" s="1">
        <v>21</v>
      </c>
      <c r="E23" s="1" t="s">
        <v>121</v>
      </c>
      <c r="F23" s="1" t="str">
        <f t="shared" si="0"/>
        <v>YouTube: Reach: Channel subscriptions</v>
      </c>
      <c r="G23" s="6">
        <v>2.3333333333333335</v>
      </c>
      <c r="H23" s="6">
        <v>3</v>
      </c>
      <c r="I23" s="6">
        <v>2</v>
      </c>
      <c r="J23" s="6">
        <v>0.66666666666666663</v>
      </c>
      <c r="K23" s="6">
        <v>0.66666666666666663</v>
      </c>
      <c r="L23" s="6">
        <v>0.66666666666666663</v>
      </c>
      <c r="M23" s="6" t="s">
        <v>37</v>
      </c>
    </row>
    <row r="24" spans="1:13">
      <c r="A24" s="1" t="s">
        <v>119</v>
      </c>
      <c r="B24" s="1" t="s">
        <v>23</v>
      </c>
      <c r="C24" s="1" t="s">
        <v>104</v>
      </c>
      <c r="D24" s="1">
        <v>22</v>
      </c>
      <c r="E24" s="1" t="s">
        <v>122</v>
      </c>
      <c r="F24" s="1" t="str">
        <f t="shared" si="0"/>
        <v>YouTube: Engagement: Average view duration</v>
      </c>
      <c r="G24" s="6">
        <v>1</v>
      </c>
      <c r="H24" s="6">
        <v>0.66666666666666663</v>
      </c>
      <c r="I24" s="6">
        <v>3</v>
      </c>
      <c r="J24" s="6">
        <v>0.66666666666666663</v>
      </c>
      <c r="K24" s="6">
        <v>0.66666666666666663</v>
      </c>
      <c r="L24" s="6">
        <v>0.33333333333333331</v>
      </c>
      <c r="M24" s="6" t="s">
        <v>39</v>
      </c>
    </row>
    <row r="25" spans="1:13">
      <c r="A25" s="1" t="s">
        <v>119</v>
      </c>
      <c r="B25" s="1" t="s">
        <v>23</v>
      </c>
      <c r="C25" s="1" t="s">
        <v>104</v>
      </c>
      <c r="D25" s="1">
        <v>23</v>
      </c>
      <c r="E25" s="1" t="s">
        <v>106</v>
      </c>
      <c r="F25" s="1" t="str">
        <f t="shared" si="0"/>
        <v>YouTube: Engagement: Shares</v>
      </c>
      <c r="G25" s="6">
        <v>2.3333333333333335</v>
      </c>
      <c r="H25" s="6">
        <v>1.6666666666666667</v>
      </c>
      <c r="I25" s="6">
        <v>3</v>
      </c>
      <c r="J25" s="6">
        <v>1</v>
      </c>
      <c r="K25" s="6">
        <v>0.66666666666666663</v>
      </c>
      <c r="L25" s="6">
        <v>1</v>
      </c>
      <c r="M25" s="6" t="s">
        <v>39</v>
      </c>
    </row>
    <row r="26" spans="1:13">
      <c r="A26" s="1" t="s">
        <v>119</v>
      </c>
      <c r="B26" s="1" t="s">
        <v>23</v>
      </c>
      <c r="C26" s="1" t="s">
        <v>104</v>
      </c>
      <c r="D26" s="1">
        <v>24</v>
      </c>
      <c r="E26" s="1" t="s">
        <v>123</v>
      </c>
      <c r="F26" s="1" t="str">
        <f t="shared" si="0"/>
        <v>YouTube: Engagement: Impressions click-through rate</v>
      </c>
      <c r="G26" s="6">
        <v>2.3333333333333335</v>
      </c>
      <c r="H26" s="6">
        <v>1.6666666666666667</v>
      </c>
      <c r="I26" s="6">
        <v>1.6666666666666667</v>
      </c>
      <c r="J26" s="6">
        <v>2</v>
      </c>
      <c r="K26" s="6">
        <v>1.6666666666666667</v>
      </c>
      <c r="L26" s="6">
        <v>1.6666666666666667</v>
      </c>
      <c r="M26" s="6" t="s">
        <v>35</v>
      </c>
    </row>
    <row r="27" spans="1:13">
      <c r="A27" s="1" t="s">
        <v>119</v>
      </c>
      <c r="B27" s="1" t="s">
        <v>23</v>
      </c>
      <c r="C27" s="1" t="s">
        <v>104</v>
      </c>
      <c r="D27" s="1">
        <v>25</v>
      </c>
      <c r="E27" s="1" t="s">
        <v>107</v>
      </c>
      <c r="F27" s="1" t="str">
        <f t="shared" si="0"/>
        <v>YouTube: Engagement: % traffic sent to website</v>
      </c>
      <c r="G27" s="6">
        <v>2.6666666666666665</v>
      </c>
      <c r="H27" s="6">
        <v>1</v>
      </c>
      <c r="I27" s="6">
        <v>1.3333333333333333</v>
      </c>
      <c r="J27" s="6">
        <v>2.6666666666666665</v>
      </c>
      <c r="K27" s="6">
        <v>2.6666666666666665</v>
      </c>
      <c r="L27" s="6">
        <v>1.6666666666666667</v>
      </c>
      <c r="M27" s="6" t="s">
        <v>35</v>
      </c>
    </row>
    <row r="28" spans="1:13">
      <c r="A28" s="1" t="s">
        <v>119</v>
      </c>
      <c r="B28" s="1" t="s">
        <v>23</v>
      </c>
      <c r="C28" s="1" t="s">
        <v>108</v>
      </c>
      <c r="D28" s="1">
        <v>26</v>
      </c>
      <c r="E28" s="1" t="s">
        <v>124</v>
      </c>
      <c r="F28" s="1" t="str">
        <f t="shared" si="0"/>
        <v>YouTube: Conversion: Conversion rate from channel (GA goals)</v>
      </c>
      <c r="G28" s="6">
        <v>1.6666666666666667</v>
      </c>
      <c r="H28" s="6">
        <v>0.33333333333333331</v>
      </c>
      <c r="I28" s="6">
        <v>1.3333333333333333</v>
      </c>
      <c r="J28" s="6">
        <v>2.6666666666666665</v>
      </c>
      <c r="K28" s="6">
        <v>3</v>
      </c>
      <c r="L28" s="6">
        <v>2.3333333333333335</v>
      </c>
      <c r="M28" s="6" t="s">
        <v>42</v>
      </c>
    </row>
    <row r="29" spans="1:13">
      <c r="A29" s="1" t="s">
        <v>125</v>
      </c>
      <c r="B29" s="1" t="s">
        <v>25</v>
      </c>
      <c r="C29" s="1" t="s">
        <v>100</v>
      </c>
      <c r="D29" s="1">
        <v>27</v>
      </c>
      <c r="E29" s="1" t="s">
        <v>126</v>
      </c>
      <c r="F29" s="1" t="str">
        <f t="shared" si="0"/>
        <v>Pinterest: Reach: Average daily impressions (pins from profile)</v>
      </c>
      <c r="G29" s="6">
        <v>2.6666666666666665</v>
      </c>
      <c r="H29" s="6">
        <v>0.66666666666666663</v>
      </c>
      <c r="I29" s="6">
        <v>1.3333333333333333</v>
      </c>
      <c r="J29" s="6">
        <v>0.33333333333333331</v>
      </c>
      <c r="K29" s="6">
        <v>0.33333333333333331</v>
      </c>
      <c r="L29" s="6">
        <v>0</v>
      </c>
      <c r="M29" s="6" t="s">
        <v>35</v>
      </c>
    </row>
    <row r="30" spans="1:13">
      <c r="A30" s="1" t="s">
        <v>125</v>
      </c>
      <c r="B30" s="1" t="s">
        <v>25</v>
      </c>
      <c r="C30" s="1" t="s">
        <v>100</v>
      </c>
      <c r="D30" s="1">
        <v>28</v>
      </c>
      <c r="E30" s="1" t="s">
        <v>127</v>
      </c>
      <c r="F30" s="1" t="str">
        <f t="shared" si="0"/>
        <v>Pinterest: Reach: Average monthly viewers</v>
      </c>
      <c r="G30" s="6">
        <v>2.6666666666666665</v>
      </c>
      <c r="H30" s="6">
        <v>1.6666666666666667</v>
      </c>
      <c r="I30" s="6">
        <v>1.3333333333333333</v>
      </c>
      <c r="J30" s="6">
        <v>0.33333333333333331</v>
      </c>
      <c r="K30" s="6">
        <v>0.33333333333333331</v>
      </c>
      <c r="L30" s="6">
        <v>0.33333333333333331</v>
      </c>
      <c r="M30" s="6" t="s">
        <v>35</v>
      </c>
    </row>
    <row r="31" spans="1:13">
      <c r="A31" s="1" t="s">
        <v>125</v>
      </c>
      <c r="B31" s="1" t="s">
        <v>25</v>
      </c>
      <c r="C31" s="1" t="s">
        <v>104</v>
      </c>
      <c r="D31" s="1">
        <v>29</v>
      </c>
      <c r="E31" s="1" t="s">
        <v>128</v>
      </c>
      <c r="F31" s="1" t="str">
        <f t="shared" si="0"/>
        <v>Pinterest: Engagement: Average monthly engaged</v>
      </c>
      <c r="G31" s="6">
        <v>2</v>
      </c>
      <c r="H31" s="6">
        <v>1.3333333333333333</v>
      </c>
      <c r="I31" s="6">
        <v>3</v>
      </c>
      <c r="J31" s="6">
        <v>0.66666666666666663</v>
      </c>
      <c r="K31" s="6">
        <v>0.66666666666666663</v>
      </c>
      <c r="L31" s="6">
        <v>0.66666666666666663</v>
      </c>
      <c r="M31" s="6" t="s">
        <v>39</v>
      </c>
    </row>
    <row r="32" spans="1:13">
      <c r="A32" s="1" t="s">
        <v>125</v>
      </c>
      <c r="B32" s="1" t="s">
        <v>25</v>
      </c>
      <c r="C32" s="1" t="s">
        <v>104</v>
      </c>
      <c r="D32" s="1">
        <v>30</v>
      </c>
      <c r="E32" s="1" t="s">
        <v>107</v>
      </c>
      <c r="F32" s="1" t="str">
        <f t="shared" si="0"/>
        <v>Pinterest: Engagement: % traffic sent to website</v>
      </c>
      <c r="G32" s="6">
        <v>2.3333333333333335</v>
      </c>
      <c r="H32" s="6">
        <v>1.3333333333333333</v>
      </c>
      <c r="I32" s="6">
        <v>1.3333333333333333</v>
      </c>
      <c r="J32" s="6">
        <v>1.6666666666666667</v>
      </c>
      <c r="K32" s="6">
        <v>1.6666666666666667</v>
      </c>
      <c r="L32" s="6">
        <v>1.6666666666666667</v>
      </c>
      <c r="M32" s="6" t="s">
        <v>35</v>
      </c>
    </row>
    <row r="33" spans="1:13">
      <c r="A33" s="1" t="s">
        <v>125</v>
      </c>
      <c r="B33" s="1" t="s">
        <v>25</v>
      </c>
      <c r="C33" s="1" t="s">
        <v>108</v>
      </c>
      <c r="D33" s="1">
        <v>31</v>
      </c>
      <c r="E33" s="1" t="s">
        <v>124</v>
      </c>
      <c r="F33" s="1" t="str">
        <f t="shared" si="0"/>
        <v>Pinterest: Conversion: Conversion rate from channel (GA goals)</v>
      </c>
      <c r="G33" s="6">
        <v>1</v>
      </c>
      <c r="H33" s="6">
        <v>1</v>
      </c>
      <c r="I33" s="6">
        <v>1</v>
      </c>
      <c r="J33" s="6">
        <v>2</v>
      </c>
      <c r="K33" s="6">
        <v>2.6666666666666665</v>
      </c>
      <c r="L33" s="6">
        <v>2.3333333333333335</v>
      </c>
      <c r="M33" s="6" t="s">
        <v>42</v>
      </c>
    </row>
    <row r="34" spans="1:13">
      <c r="A34" s="1" t="s">
        <v>129</v>
      </c>
      <c r="B34" s="1" t="s">
        <v>130</v>
      </c>
      <c r="C34" s="1" t="s">
        <v>100</v>
      </c>
      <c r="D34" s="1">
        <v>32</v>
      </c>
      <c r="E34" s="1" t="s">
        <v>131</v>
      </c>
      <c r="F34" s="1" t="str">
        <f t="shared" si="0"/>
        <v>Website: Reach: Sessions</v>
      </c>
      <c r="G34" s="6">
        <v>2.6666666666666665</v>
      </c>
      <c r="H34" s="6">
        <v>1.6666666666666667</v>
      </c>
      <c r="I34" s="6">
        <v>1.3333333333333333</v>
      </c>
      <c r="J34" s="6">
        <v>2</v>
      </c>
      <c r="K34" s="6">
        <v>1.6666666666666667</v>
      </c>
      <c r="L34" s="6">
        <v>1.3333333333333333</v>
      </c>
      <c r="M34" s="6" t="s">
        <v>35</v>
      </c>
    </row>
    <row r="35" spans="1:13">
      <c r="A35" s="1" t="s">
        <v>129</v>
      </c>
      <c r="B35" s="1" t="s">
        <v>130</v>
      </c>
      <c r="C35" s="1" t="s">
        <v>100</v>
      </c>
      <c r="D35" s="1">
        <v>33</v>
      </c>
      <c r="E35" s="1" t="s">
        <v>132</v>
      </c>
      <c r="F35" s="1" t="str">
        <f t="shared" si="0"/>
        <v>Website: Reach: Users</v>
      </c>
      <c r="G35" s="6">
        <v>3</v>
      </c>
      <c r="H35" s="6">
        <v>1.6666666666666667</v>
      </c>
      <c r="I35" s="6">
        <v>1</v>
      </c>
      <c r="J35" s="6">
        <v>2</v>
      </c>
      <c r="K35" s="6">
        <v>1.6666666666666667</v>
      </c>
      <c r="L35" s="6">
        <v>1.3333333333333333</v>
      </c>
      <c r="M35" s="6" t="s">
        <v>35</v>
      </c>
    </row>
    <row r="36" spans="1:13">
      <c r="A36" s="1" t="s">
        <v>129</v>
      </c>
      <c r="B36" s="1" t="s">
        <v>130</v>
      </c>
      <c r="C36" s="1" t="s">
        <v>104</v>
      </c>
      <c r="D36" s="1">
        <v>34</v>
      </c>
      <c r="E36" s="1" t="s">
        <v>133</v>
      </c>
      <c r="F36" s="1" t="str">
        <f t="shared" si="0"/>
        <v>Website: Engagement: Time spent by site section</v>
      </c>
      <c r="G36" s="6">
        <v>0.66666666666666663</v>
      </c>
      <c r="H36" s="6">
        <v>1.3333333333333333</v>
      </c>
      <c r="I36" s="6">
        <v>3</v>
      </c>
      <c r="J36" s="6">
        <v>1.6666666666666667</v>
      </c>
      <c r="K36" s="6">
        <v>1.3333333333333333</v>
      </c>
      <c r="L36" s="6">
        <v>1.3333333333333333</v>
      </c>
      <c r="M36" s="6" t="s">
        <v>39</v>
      </c>
    </row>
    <row r="37" spans="1:13">
      <c r="A37" s="1" t="s">
        <v>129</v>
      </c>
      <c r="B37" s="1" t="s">
        <v>130</v>
      </c>
      <c r="C37" s="1" t="s">
        <v>108</v>
      </c>
      <c r="D37" s="1">
        <v>35</v>
      </c>
      <c r="E37" s="1" t="s">
        <v>134</v>
      </c>
      <c r="F37" s="1" t="str">
        <f t="shared" si="0"/>
        <v>Website: Conversion: Conversion rate by channel</v>
      </c>
      <c r="G37" s="6">
        <v>0</v>
      </c>
      <c r="H37" s="6">
        <v>0</v>
      </c>
      <c r="I37" s="6">
        <v>2</v>
      </c>
      <c r="J37" s="6">
        <v>2.3333333333333335</v>
      </c>
      <c r="K37" s="6">
        <v>2.6666666666666665</v>
      </c>
      <c r="L37" s="6">
        <v>2.3333333333333335</v>
      </c>
      <c r="M37" s="6" t="s">
        <v>42</v>
      </c>
    </row>
    <row r="38" spans="1:13">
      <c r="A38" s="1" t="s">
        <v>129</v>
      </c>
      <c r="B38" s="1" t="s">
        <v>130</v>
      </c>
      <c r="C38" s="1" t="s">
        <v>108</v>
      </c>
      <c r="D38" s="1">
        <v>36</v>
      </c>
      <c r="E38" s="1" t="s">
        <v>135</v>
      </c>
      <c r="F38" s="1" t="str">
        <f t="shared" si="0"/>
        <v>Website: Conversion: Goal completion</v>
      </c>
      <c r="G38" s="6">
        <v>0</v>
      </c>
      <c r="H38" s="6">
        <v>1</v>
      </c>
      <c r="I38" s="6">
        <v>2.6666666666666665</v>
      </c>
      <c r="J38" s="6">
        <v>2.6666666666666665</v>
      </c>
      <c r="K38" s="6">
        <v>3</v>
      </c>
      <c r="L38" s="6">
        <v>3</v>
      </c>
      <c r="M38" s="6" t="s">
        <v>42</v>
      </c>
    </row>
    <row r="39" spans="1:13">
      <c r="A39" s="1" t="s">
        <v>129</v>
      </c>
      <c r="B39" s="1" t="s">
        <v>130</v>
      </c>
      <c r="C39" s="1" t="s">
        <v>108</v>
      </c>
      <c r="D39" s="1">
        <v>37</v>
      </c>
      <c r="E39" s="1" t="s">
        <v>136</v>
      </c>
      <c r="F39" s="1" t="str">
        <f t="shared" si="0"/>
        <v>Website: Conversion: Value of ticket sales</v>
      </c>
      <c r="G39" s="6">
        <v>0</v>
      </c>
      <c r="H39" s="6">
        <v>0.33333333333333331</v>
      </c>
      <c r="I39" s="6">
        <v>0</v>
      </c>
      <c r="J39" s="6">
        <v>2.6666666666666665</v>
      </c>
      <c r="K39" s="6">
        <v>3</v>
      </c>
      <c r="L39" s="6">
        <v>0.66666666666666663</v>
      </c>
      <c r="M39" s="6" t="s">
        <v>42</v>
      </c>
    </row>
    <row r="40" spans="1:13">
      <c r="A40" s="1" t="s">
        <v>137</v>
      </c>
      <c r="B40" s="1" t="s">
        <v>28</v>
      </c>
      <c r="C40" s="1" t="s">
        <v>100</v>
      </c>
      <c r="D40" s="1">
        <v>38</v>
      </c>
      <c r="E40" s="1" t="s">
        <v>138</v>
      </c>
      <c r="F40" s="1" t="str">
        <f t="shared" si="0"/>
        <v>Email: Reach: Subscriber total</v>
      </c>
      <c r="G40" s="6">
        <v>2.3333333333333335</v>
      </c>
      <c r="H40" s="6">
        <v>3</v>
      </c>
      <c r="I40" s="6">
        <v>2</v>
      </c>
      <c r="J40" s="6">
        <v>1.3333333333333333</v>
      </c>
      <c r="K40" s="6">
        <v>1.3333333333333333</v>
      </c>
      <c r="L40" s="6">
        <v>1.3333333333333333</v>
      </c>
      <c r="M40" s="6" t="s">
        <v>37</v>
      </c>
    </row>
    <row r="41" spans="1:13">
      <c r="A41" s="1" t="s">
        <v>137</v>
      </c>
      <c r="B41" s="1" t="s">
        <v>28</v>
      </c>
      <c r="C41" s="1" t="s">
        <v>100</v>
      </c>
      <c r="D41" s="1">
        <v>39</v>
      </c>
      <c r="E41" s="1" t="s">
        <v>139</v>
      </c>
      <c r="F41" s="1" t="str">
        <f t="shared" si="0"/>
        <v>Email: Reach: Subscriber growth rate</v>
      </c>
      <c r="G41" s="6">
        <v>3</v>
      </c>
      <c r="H41" s="6">
        <v>3</v>
      </c>
      <c r="I41" s="6">
        <v>2.3333333333333335</v>
      </c>
      <c r="J41" s="6">
        <v>1.3333333333333333</v>
      </c>
      <c r="K41" s="6">
        <v>1.3333333333333333</v>
      </c>
      <c r="L41" s="6">
        <v>1.3333333333333333</v>
      </c>
      <c r="M41" s="6" t="s">
        <v>35</v>
      </c>
    </row>
    <row r="42" spans="1:13">
      <c r="A42" s="1" t="s">
        <v>137</v>
      </c>
      <c r="B42" s="1" t="s">
        <v>28</v>
      </c>
      <c r="C42" s="1" t="s">
        <v>104</v>
      </c>
      <c r="D42" s="1">
        <v>40</v>
      </c>
      <c r="E42" s="1" t="s">
        <v>140</v>
      </c>
      <c r="F42" s="1" t="str">
        <f t="shared" si="0"/>
        <v>Email: Engagement: Open rate</v>
      </c>
      <c r="G42" s="6">
        <v>1</v>
      </c>
      <c r="H42" s="6">
        <v>1.3333333333333333</v>
      </c>
      <c r="I42" s="6">
        <v>3</v>
      </c>
      <c r="J42" s="6">
        <v>1.3333333333333333</v>
      </c>
      <c r="K42" s="6">
        <v>1.3333333333333333</v>
      </c>
      <c r="L42" s="6">
        <v>1.3333333333333333</v>
      </c>
      <c r="M42" s="6" t="s">
        <v>39</v>
      </c>
    </row>
    <row r="43" spans="1:13">
      <c r="A43" s="1" t="s">
        <v>137</v>
      </c>
      <c r="B43" s="1" t="s">
        <v>28</v>
      </c>
      <c r="C43" s="1" t="s">
        <v>104</v>
      </c>
      <c r="D43" s="1">
        <v>41</v>
      </c>
      <c r="E43" s="1" t="s">
        <v>141</v>
      </c>
      <c r="F43" s="1" t="str">
        <f t="shared" si="0"/>
        <v>Email: Engagement: Click through rate</v>
      </c>
      <c r="G43" s="6">
        <v>0.66666666666666663</v>
      </c>
      <c r="H43" s="6">
        <v>1.6666666666666667</v>
      </c>
      <c r="I43" s="6">
        <v>3</v>
      </c>
      <c r="J43" s="6">
        <v>2.6666666666666665</v>
      </c>
      <c r="K43" s="6">
        <v>1.6666666666666667</v>
      </c>
      <c r="L43" s="6">
        <v>1.6666666666666667</v>
      </c>
      <c r="M43" s="6" t="s">
        <v>39</v>
      </c>
    </row>
    <row r="44" spans="1:13">
      <c r="A44" s="1" t="s">
        <v>137</v>
      </c>
      <c r="B44" s="1" t="s">
        <v>28</v>
      </c>
      <c r="C44" s="1" t="s">
        <v>108</v>
      </c>
      <c r="D44" s="1">
        <v>42</v>
      </c>
      <c r="E44" s="1" t="s">
        <v>109</v>
      </c>
      <c r="F44" s="1" t="str">
        <f t="shared" si="0"/>
        <v>Email: Conversion: Conversion rate from channel (GA Goals)</v>
      </c>
      <c r="G44" s="6">
        <v>0</v>
      </c>
      <c r="H44" s="6">
        <v>0</v>
      </c>
      <c r="I44" s="6">
        <v>2.3333333333333335</v>
      </c>
      <c r="J44" s="6">
        <v>3</v>
      </c>
      <c r="K44" s="6">
        <v>2.6666666666666665</v>
      </c>
      <c r="L44" s="6">
        <v>2.6666666666666665</v>
      </c>
      <c r="M44" s="6" t="s">
        <v>41</v>
      </c>
    </row>
    <row r="45" spans="1:13">
      <c r="M45" s="6"/>
    </row>
    <row r="46" spans="1:13">
      <c r="M46" s="6"/>
    </row>
    <row r="47" spans="1:13">
      <c r="M47" s="6"/>
    </row>
    <row r="48" spans="1:13">
      <c r="M48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7694D-D5B8-4FC4-BBFF-502381AE7650}">
  <dimension ref="A1:R187"/>
  <sheetViews>
    <sheetView showGridLines="0" workbookViewId="0">
      <selection activeCell="G8" sqref="G8"/>
    </sheetView>
  </sheetViews>
  <sheetFormatPr defaultColWidth="9" defaultRowHeight="13.5"/>
  <cols>
    <col min="1" max="3" width="31.25" style="1" customWidth="1"/>
    <col min="4" max="4" width="9" style="1" customWidth="1"/>
    <col min="5" max="11" width="9" style="15" customWidth="1"/>
    <col min="12" max="13" width="9" style="1" customWidth="1"/>
    <col min="14" max="16384" width="9" style="1"/>
  </cols>
  <sheetData>
    <row r="1" spans="1:18">
      <c r="A1" s="16" t="s">
        <v>0</v>
      </c>
      <c r="B1" s="20"/>
      <c r="C1" s="17" t="s">
        <v>1</v>
      </c>
      <c r="D1" s="14"/>
      <c r="E1" s="35" t="s">
        <v>2</v>
      </c>
      <c r="G1" s="35" t="s">
        <v>3</v>
      </c>
    </row>
    <row r="2" spans="1:18">
      <c r="A2" s="45" t="s">
        <v>4</v>
      </c>
      <c r="B2" s="46"/>
      <c r="C2" s="18" t="s">
        <v>5</v>
      </c>
      <c r="D2" s="14"/>
      <c r="E2" s="38">
        <f>VLOOKUP(C2,Lists!$A$1:$B$5,2,FALSE)</f>
        <v>0</v>
      </c>
      <c r="G2" s="38">
        <f>MAX(Content_Platform!$C$3:$I$10)</f>
        <v>3</v>
      </c>
    </row>
    <row r="3" spans="1:18">
      <c r="A3" s="47" t="s">
        <v>6</v>
      </c>
      <c r="B3" s="48"/>
      <c r="C3" s="18" t="s">
        <v>5</v>
      </c>
      <c r="D3" s="14"/>
      <c r="E3" s="38">
        <f>VLOOKUP(C3,Lists!$A$1:$B$5,2,FALSE)</f>
        <v>0</v>
      </c>
    </row>
    <row r="4" spans="1:18">
      <c r="A4" s="47" t="s">
        <v>7</v>
      </c>
      <c r="B4" s="48"/>
      <c r="C4" s="18" t="s">
        <v>8</v>
      </c>
      <c r="D4" s="14"/>
      <c r="E4" s="38">
        <f>VLOOKUP(C4,Lists!$A$1:$B$5,2,FALSE)</f>
        <v>2</v>
      </c>
      <c r="G4" s="35" t="s">
        <v>9</v>
      </c>
    </row>
    <row r="5" spans="1:18">
      <c r="A5" s="47" t="s">
        <v>10</v>
      </c>
      <c r="B5" s="48"/>
      <c r="C5" s="18" t="s">
        <v>5</v>
      </c>
      <c r="D5" s="14"/>
      <c r="E5" s="38">
        <f>VLOOKUP(C5,Lists!$A$1:$B$5,2,FALSE)</f>
        <v>0</v>
      </c>
      <c r="G5" s="38">
        <f>MAX(Lists!$B$2:$B$5)</f>
        <v>3</v>
      </c>
    </row>
    <row r="6" spans="1:18">
      <c r="A6" s="47" t="s">
        <v>11</v>
      </c>
      <c r="B6" s="48"/>
      <c r="C6" s="18" t="s">
        <v>12</v>
      </c>
      <c r="D6" s="14"/>
      <c r="E6" s="38">
        <f>VLOOKUP(C6,Lists!$A$1:$B$5,2,FALSE)</f>
        <v>3</v>
      </c>
    </row>
    <row r="7" spans="1:18">
      <c r="A7" s="47" t="s">
        <v>13</v>
      </c>
      <c r="B7" s="48"/>
      <c r="C7" s="18" t="s">
        <v>5</v>
      </c>
      <c r="D7" s="14"/>
      <c r="E7" s="38">
        <f>VLOOKUP(C7,Lists!$A$1:$B$5,2,FALSE)</f>
        <v>0</v>
      </c>
      <c r="G7" s="35" t="s">
        <v>14</v>
      </c>
    </row>
    <row r="8" spans="1:18">
      <c r="A8" s="47" t="s">
        <v>15</v>
      </c>
      <c r="B8" s="48"/>
      <c r="C8" s="18" t="s">
        <v>12</v>
      </c>
      <c r="D8" s="14"/>
      <c r="E8" s="38">
        <f>VLOOKUP(C8,Lists!$A$1:$B$5,2,FALSE)</f>
        <v>3</v>
      </c>
      <c r="G8" s="38">
        <f>(((COUNTA(A2:B9)-COUNTIF($C$2:$C$9,"We don't have this type of content"))*(G2*G5)))</f>
        <v>27</v>
      </c>
    </row>
    <row r="9" spans="1:18">
      <c r="A9" s="47" t="s">
        <v>16</v>
      </c>
      <c r="B9" s="48"/>
      <c r="C9" s="18" t="s">
        <v>5</v>
      </c>
      <c r="D9" s="14"/>
      <c r="E9" s="38">
        <f>VLOOKUP(C9,Lists!$A$1:$B$5,2,FALSE)</f>
        <v>0</v>
      </c>
    </row>
    <row r="10" spans="1:18">
      <c r="D10" s="14"/>
    </row>
    <row r="11" spans="1:18" s="19" customFormat="1">
      <c r="A11" s="35" t="s">
        <v>17</v>
      </c>
      <c r="B11" s="35" t="s">
        <v>18</v>
      </c>
      <c r="C11" s="35" t="s">
        <v>19</v>
      </c>
      <c r="E11" s="41" t="s">
        <v>20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"/>
      <c r="Q11" s="1"/>
      <c r="R11" s="1"/>
    </row>
    <row r="12" spans="1:18" s="19" customFormat="1">
      <c r="A12" s="36" t="s">
        <v>21</v>
      </c>
      <c r="B12" s="37">
        <f>(($E$2*HLOOKUP('Workings surfaced'!A12,Content_Platform!$C$2:$J$12,2,FALSE))+($E$3*HLOOKUP('Workings surfaced'!A12,Content_Platform!$C$2:$J$12,3,FALSE))+($E$4*HLOOKUP('Workings surfaced'!A12,Content_Platform!$C$2:$J$12,4,FALSE))+($E$5*HLOOKUP('Workings surfaced'!A12,Content_Platform!$C$2:$J$12,5,FALSE))+($E$6*HLOOKUP('Workings surfaced'!A12,Content_Platform!$C$2:$J$12,6,FALSE))+($E$7*HLOOKUP('Workings surfaced'!A12,Content_Platform!$C$2:$J$12,7,FALSE))+($E$8*HLOOKUP('Workings surfaced'!A12,Content_Platform!$C$2:$J$12,8,FALSE))+($E$9*HLOOKUP('Workings surfaced'!A12,Content_Platform!$C$2:$J$12,9,FALSE)))</f>
        <v>9.25</v>
      </c>
      <c r="C12" s="38">
        <f>(B12/$G$8)*100</f>
        <v>34.25925925925926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"/>
      <c r="Q12" s="1"/>
      <c r="R12" s="1"/>
    </row>
    <row r="13" spans="1:18">
      <c r="A13" s="36" t="s">
        <v>22</v>
      </c>
      <c r="B13" s="37">
        <f>(($E$2*HLOOKUP('Workings surfaced'!A13,Content_Platform!$C$2:$J$12,2,FALSE))+($E$3*HLOOKUP('Workings surfaced'!A13,Content_Platform!$C$2:$J$12,3,FALSE))+($E$4*HLOOKUP('Workings surfaced'!A13,Content_Platform!$C$2:$J$12,4,FALSE))+($E$5*HLOOKUP('Workings surfaced'!A13,Content_Platform!$C$2:$J$12,5,FALSE))+($E$6*HLOOKUP('Workings surfaced'!A13,Content_Platform!$C$2:$J$12,6,FALSE))+($E$7*HLOOKUP('Workings surfaced'!A13,Content_Platform!$C$2:$J$12,7,FALSE))+($E$8*HLOOKUP('Workings surfaced'!A13,Content_Platform!$C$2:$J$12,8,FALSE))+($E$9*HLOOKUP('Workings surfaced'!A13,Content_Platform!$C$2:$J$12,9,FALSE)))</f>
        <v>7</v>
      </c>
      <c r="C13" s="38">
        <f>(B13/$G$8)*100</f>
        <v>25.925925925925924</v>
      </c>
      <c r="L13" s="15"/>
      <c r="M13" s="15"/>
      <c r="N13" s="15"/>
      <c r="O13" s="15"/>
      <c r="P13" s="19"/>
      <c r="Q13" s="19"/>
    </row>
    <row r="14" spans="1:18">
      <c r="A14" s="36" t="s">
        <v>23</v>
      </c>
      <c r="B14" s="37">
        <f>(($E$2*HLOOKUP('Workings surfaced'!A14,Content_Platform!$C$2:$J$12,2,FALSE))+($E$3*HLOOKUP('Workings surfaced'!A14,Content_Platform!$C$2:$J$12,3,FALSE))+($E$4*HLOOKUP('Workings surfaced'!A14,Content_Platform!$C$2:$J$12,4,FALSE))+($E$5*HLOOKUP('Workings surfaced'!A14,Content_Platform!$C$2:$J$12,5,FALSE))+($E$6*HLOOKUP('Workings surfaced'!A14,Content_Platform!$C$2:$J$12,6,FALSE))+($E$7*HLOOKUP('Workings surfaced'!A14,Content_Platform!$C$2:$J$12,7,FALSE))+($E$8*HLOOKUP('Workings surfaced'!A14,Content_Platform!$C$2:$J$12,8,FALSE))+($E$9*HLOOKUP('Workings surfaced'!A14,Content_Platform!$C$2:$J$12,9,FALSE)))</f>
        <v>9</v>
      </c>
      <c r="C14" s="38">
        <f>(B14/$G$8)*100</f>
        <v>33.333333333333329</v>
      </c>
      <c r="L14" s="15"/>
      <c r="M14" s="15"/>
      <c r="N14" s="15"/>
      <c r="O14" s="15"/>
      <c r="P14" s="19"/>
      <c r="Q14" s="19"/>
    </row>
    <row r="15" spans="1:18">
      <c r="A15" s="36" t="s">
        <v>24</v>
      </c>
      <c r="B15" s="37">
        <f>(($E$2*HLOOKUP('Workings surfaced'!A15,Content_Platform!$C$2:$J$12,2,FALSE))+($E$3*HLOOKUP('Workings surfaced'!A15,Content_Platform!$C$2:$J$12,3,FALSE))+($E$4*HLOOKUP('Workings surfaced'!A15,Content_Platform!$C$2:$J$12,4,FALSE))+($E$5*HLOOKUP('Workings surfaced'!A15,Content_Platform!$C$2:$J$12,5,FALSE))+($E$6*HLOOKUP('Workings surfaced'!A15,Content_Platform!$C$2:$J$12,6,FALSE))+($E$7*HLOOKUP('Workings surfaced'!A15,Content_Platform!$C$2:$J$12,7,FALSE))+($E$8*HLOOKUP('Workings surfaced'!A15,Content_Platform!$C$2:$J$12,8,FALSE))+($E$9*HLOOKUP('Workings surfaced'!A15,Content_Platform!$C$2:$J$12,9,FALSE)))</f>
        <v>5.5</v>
      </c>
      <c r="C15" s="38">
        <f>(B15/$G$8)*100</f>
        <v>20.37037037037037</v>
      </c>
      <c r="L15" s="15"/>
      <c r="M15" s="15"/>
      <c r="N15" s="15"/>
      <c r="O15" s="15"/>
    </row>
    <row r="16" spans="1:18">
      <c r="A16" s="36" t="s">
        <v>25</v>
      </c>
      <c r="B16" s="37">
        <f>(($E$2*HLOOKUP('Workings surfaced'!A16,Content_Platform!$C$2:$J$12,2,FALSE))+($E$3*HLOOKUP('Workings surfaced'!A16,Content_Platform!$C$2:$J$12,3,FALSE))+($E$4*HLOOKUP('Workings surfaced'!A16,Content_Platform!$C$2:$J$12,4,FALSE))+($E$5*HLOOKUP('Workings surfaced'!A16,Content_Platform!$C$2:$J$12,5,FALSE))+($E$6*HLOOKUP('Workings surfaced'!A16,Content_Platform!$C$2:$J$12,6,FALSE))+($E$7*HLOOKUP('Workings surfaced'!A16,Content_Platform!$C$2:$J$12,7,FALSE))+($E$8*HLOOKUP('Workings surfaced'!A16,Content_Platform!$C$2:$J$12,8,FALSE))+($E$9*HLOOKUP('Workings surfaced'!A16,Content_Platform!$C$2:$J$12,9,FALSE)))</f>
        <v>4</v>
      </c>
      <c r="C16" s="38">
        <f>(B16/$G$8)*100</f>
        <v>14.814814814814813</v>
      </c>
      <c r="L16" s="15"/>
      <c r="M16" s="15"/>
      <c r="N16" s="15"/>
      <c r="O16" s="15"/>
    </row>
    <row r="17" spans="1:18">
      <c r="A17" s="15"/>
      <c r="B17" s="15"/>
      <c r="C17" s="15"/>
      <c r="D17" s="15"/>
      <c r="K17" s="1"/>
    </row>
    <row r="18" spans="1:18" s="19" customFormat="1">
      <c r="A18" s="35" t="s">
        <v>26</v>
      </c>
      <c r="B18" s="35" t="s">
        <v>18</v>
      </c>
      <c r="C18" s="35" t="s">
        <v>19</v>
      </c>
      <c r="E18" s="41" t="s">
        <v>20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"/>
      <c r="Q18" s="1"/>
      <c r="R18" s="1"/>
    </row>
    <row r="19" spans="1:18" s="19" customFormat="1">
      <c r="A19" s="36" t="s">
        <v>27</v>
      </c>
      <c r="B19" s="37">
        <f>(($E$2*HLOOKUP('Workings surfaced'!A19,Content_Platform!$C$2:$J$12,2,FALSE))+($E$3*HLOOKUP('Workings surfaced'!A19,Content_Platform!$C$2:$J$12,3,FALSE))+($E$4*HLOOKUP('Workings surfaced'!A19,Content_Platform!$C$2:$J$12,4,FALSE))+($E$5*HLOOKUP('Workings surfaced'!A19,Content_Platform!$C$2:$J$12,5,FALSE))+($E$6*HLOOKUP('Workings surfaced'!A19,Content_Platform!$C$2:$J$12,6,FALSE))+($E$7*HLOOKUP('Workings surfaced'!A19,Content_Platform!$C$2:$J$12,7,FALSE))+($E$8*HLOOKUP('Workings surfaced'!A19,Content_Platform!$C$2:$J$12,8,FALSE))+($E$9*HLOOKUP('Workings surfaced'!A19,Content_Platform!$C$2:$J$12,9,FALSE)))</f>
        <v>14.5</v>
      </c>
      <c r="C19" s="38">
        <f>(B19/$G$8)*100</f>
        <v>53.703703703703709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"/>
      <c r="Q19" s="1"/>
      <c r="R19" s="1"/>
    </row>
    <row r="20" spans="1:18">
      <c r="A20" s="36" t="s">
        <v>28</v>
      </c>
      <c r="B20" s="37">
        <f>(($E$2*HLOOKUP('Workings surfaced'!A20,Content_Platform!$C$2:$J$12,2,FALSE))+($E$3*HLOOKUP('Workings surfaced'!A20,Content_Platform!$C$2:$J$12,3,FALSE))+($E$4*HLOOKUP('Workings surfaced'!A20,Content_Platform!$C$2:$J$12,4,FALSE))+($E$5*HLOOKUP('Workings surfaced'!A20,Content_Platform!$C$2:$J$12,5,FALSE))+($E$6*HLOOKUP('Workings surfaced'!A20,Content_Platform!$C$2:$J$12,6,FALSE))+($E$7*HLOOKUP('Workings surfaced'!A20,Content_Platform!$C$2:$J$12,7,FALSE))+($E$8*HLOOKUP('Workings surfaced'!A20,Content_Platform!$C$2:$J$12,8,FALSE))+($E$9*HLOOKUP('Workings surfaced'!A20,Content_Platform!$C$2:$J$12,9,FALSE)))</f>
        <v>5.75</v>
      </c>
      <c r="C20" s="38">
        <f>(B20/$G$8)*100</f>
        <v>21.296296296296298</v>
      </c>
      <c r="L20" s="15"/>
      <c r="M20" s="15"/>
      <c r="N20" s="15"/>
      <c r="O20" s="15"/>
      <c r="P20" s="19"/>
      <c r="Q20" s="19"/>
    </row>
    <row r="21" spans="1:18">
      <c r="A21" s="15"/>
      <c r="B21" s="15"/>
      <c r="C21" s="15"/>
      <c r="L21" s="15"/>
      <c r="M21" s="15"/>
      <c r="N21" s="19"/>
      <c r="O21" s="19"/>
    </row>
    <row r="22" spans="1:18">
      <c r="A22" s="25" t="s">
        <v>29</v>
      </c>
      <c r="B22" s="26"/>
      <c r="C22" s="15"/>
      <c r="D22" s="15"/>
      <c r="L22" s="15"/>
      <c r="M22" s="15"/>
      <c r="N22" s="15"/>
      <c r="O22" s="15"/>
    </row>
    <row r="23" spans="1:18">
      <c r="A23" s="33" t="s">
        <v>30</v>
      </c>
      <c r="B23" s="31" t="s">
        <v>31</v>
      </c>
      <c r="C23" s="21" t="s">
        <v>18</v>
      </c>
      <c r="D23" s="21"/>
      <c r="E23" s="21"/>
      <c r="F23" s="21"/>
      <c r="G23" s="21"/>
      <c r="H23" s="21"/>
      <c r="I23" s="21"/>
      <c r="J23" s="21"/>
      <c r="K23" s="1"/>
      <c r="M23" s="15"/>
      <c r="N23" s="15"/>
      <c r="O23" s="15"/>
    </row>
    <row r="24" spans="1:18">
      <c r="A24" s="34"/>
      <c r="B24" s="31"/>
      <c r="C24" s="27" t="s">
        <v>4</v>
      </c>
      <c r="D24" s="27" t="s">
        <v>6</v>
      </c>
      <c r="E24" s="27" t="s">
        <v>7</v>
      </c>
      <c r="F24" s="27" t="s">
        <v>10</v>
      </c>
      <c r="G24" s="27" t="s">
        <v>11</v>
      </c>
      <c r="H24" s="27" t="s">
        <v>13</v>
      </c>
      <c r="I24" s="27" t="s">
        <v>15</v>
      </c>
      <c r="J24" s="27" t="s">
        <v>16</v>
      </c>
      <c r="K24" s="1"/>
      <c r="L24" s="1" t="s">
        <v>32</v>
      </c>
      <c r="M24" s="15"/>
      <c r="N24" s="15"/>
      <c r="O24" s="15"/>
    </row>
    <row r="25" spans="1:18">
      <c r="A25" s="30" t="str">
        <f>INDEX(A12:A16,MATCH(1,INDEX((C12:C16=LARGE(C12:C16,ROWS(A24)))*(COUNTIF(A24,A12:A16)=0),),0))</f>
        <v>Facebook</v>
      </c>
      <c r="B25" s="32">
        <f>VLOOKUP(A25,$A$12:$C$16,3,FALSE)</f>
        <v>34.25925925925926</v>
      </c>
      <c r="C25" s="29">
        <f>HLOOKUP($A25,Content_Platform!$C$2:$J$12,2,FALSE)</f>
        <v>3</v>
      </c>
      <c r="D25" s="28">
        <f>HLOOKUP($A25,Content_Platform!$C$2:$J$12,3,FALSE)</f>
        <v>1.75</v>
      </c>
      <c r="E25" s="28">
        <f>HLOOKUP($A25,Content_Platform!$C$2:$J$12,4,FALSE)</f>
        <v>2</v>
      </c>
      <c r="F25" s="28">
        <f>HLOOKUP($A25,Content_Platform!$C$2:$J$12,5,FALSE)</f>
        <v>2.25</v>
      </c>
      <c r="G25" s="28">
        <f>HLOOKUP($A25,Content_Platform!$C$2:$J$12,6,FALSE)</f>
        <v>0.75</v>
      </c>
      <c r="H25" s="28">
        <f>HLOOKUP($A25,Content_Platform!$C$2:$J$12,7,FALSE)</f>
        <v>2.25</v>
      </c>
      <c r="I25" s="28">
        <f>HLOOKUP($A25,Content_Platform!$C$2:$J$12,8,FALSE)</f>
        <v>1</v>
      </c>
      <c r="J25" s="28">
        <f>HLOOKUP($A25,Content_Platform!$C$2:$J$12,9,FALSE)</f>
        <v>2</v>
      </c>
      <c r="K25" s="1"/>
      <c r="M25" s="15"/>
      <c r="N25" s="15"/>
      <c r="O25" s="15"/>
    </row>
    <row r="26" spans="1:18">
      <c r="A26" s="30" t="str">
        <f>INDEX(A12:A16,MATCH(1,INDEX((C12:C16=LARGE(C12:C16,ROWS(A24:A25)))*(COUNTIF(A24:A25,A12:A16)=0),),0))</f>
        <v>YouTube</v>
      </c>
      <c r="B26" s="32">
        <f>VLOOKUP(A26,$A$12:$C$16,3,FALSE)</f>
        <v>33.333333333333329</v>
      </c>
      <c r="C26" s="29">
        <f>HLOOKUP($A26,Content_Platform!$C$2:$J$12,2,FALSE)</f>
        <v>2.25</v>
      </c>
      <c r="D26" s="28">
        <f>HLOOKUP($A26,Content_Platform!$C$2:$J$12,3,FALSE)</f>
        <v>3</v>
      </c>
      <c r="E26" s="28">
        <f>HLOOKUP($A26,Content_Platform!$C$2:$J$12,4,FALSE)</f>
        <v>3</v>
      </c>
      <c r="F26" s="28">
        <f>HLOOKUP($A26,Content_Platform!$C$2:$J$12,5,FALSE)</f>
        <v>0.25</v>
      </c>
      <c r="G26" s="28">
        <f>HLOOKUP($A26,Content_Platform!$C$2:$J$12,6,FALSE)</f>
        <v>1</v>
      </c>
      <c r="H26" s="28">
        <f>HLOOKUP($A26,Content_Platform!$C$2:$J$12,7,FALSE)</f>
        <v>0.25</v>
      </c>
      <c r="I26" s="28">
        <f>HLOOKUP($A26,Content_Platform!$C$2:$J$12,8,FALSE)</f>
        <v>0</v>
      </c>
      <c r="J26" s="28">
        <f>HLOOKUP($A26,Content_Platform!$C$2:$J$12,9,FALSE)</f>
        <v>1</v>
      </c>
      <c r="K26" s="1"/>
      <c r="M26" s="15"/>
      <c r="N26" s="15"/>
      <c r="O26" s="15"/>
      <c r="P26" s="19"/>
    </row>
    <row r="27" spans="1:18">
      <c r="A27" s="30" t="str">
        <f>INDEX(A12:A16,MATCH(1,INDEX((C12:C16=LARGE(C12:C16,ROWS(A24:A26)))*(COUNTIF(A24:A26,A12:A16)=0),),0))</f>
        <v>Instagram</v>
      </c>
      <c r="B27" s="32">
        <f>VLOOKUP(A27,$A$12:$C$16,3,FALSE)</f>
        <v>25.925925925925924</v>
      </c>
      <c r="C27" s="29">
        <f>HLOOKUP($A27,Content_Platform!$C$2:$J$12,2,FALSE)</f>
        <v>2.75</v>
      </c>
      <c r="D27" s="28">
        <f>HLOOKUP($A27,Content_Platform!$C$2:$J$12,3,FALSE)</f>
        <v>0</v>
      </c>
      <c r="E27" s="28">
        <f>HLOOKUP($A27,Content_Platform!$C$2:$J$12,4,FALSE)</f>
        <v>0.5</v>
      </c>
      <c r="F27" s="28">
        <f>HLOOKUP($A27,Content_Platform!$C$2:$J$12,5,FALSE)</f>
        <v>3</v>
      </c>
      <c r="G27" s="28">
        <f>HLOOKUP($A27,Content_Platform!$C$2:$J$12,6,FALSE)</f>
        <v>0.5</v>
      </c>
      <c r="H27" s="28">
        <f>HLOOKUP($A27,Content_Platform!$C$2:$J$12,7,FALSE)</f>
        <v>1.75</v>
      </c>
      <c r="I27" s="28">
        <f>HLOOKUP($A27,Content_Platform!$C$2:$J$12,8,FALSE)</f>
        <v>1.5</v>
      </c>
      <c r="J27" s="28">
        <f>HLOOKUP($A27,Content_Platform!$C$2:$J$12,9,FALSE)</f>
        <v>1.75</v>
      </c>
      <c r="K27" s="1"/>
      <c r="L27" s="19"/>
      <c r="M27" s="15"/>
      <c r="N27" s="15"/>
      <c r="O27" s="15"/>
      <c r="P27" s="19"/>
    </row>
    <row r="28" spans="1:18">
      <c r="A28" s="30" t="str">
        <f>INDEX(A12:A16,MATCH(1,INDEX((C12:C16=LARGE(C12:C16,ROWS(A24:A27)))*(COUNTIF(A24:A27,A12:A16)=0),),0))</f>
        <v>Twitter</v>
      </c>
      <c r="B28" s="32">
        <f>VLOOKUP(A28,$A$12:$C$16,3,FALSE)</f>
        <v>20.37037037037037</v>
      </c>
      <c r="C28" s="29">
        <f>HLOOKUP($A28,Content_Platform!$C$2:$J$12,2,FALSE)</f>
        <v>2.75</v>
      </c>
      <c r="D28" s="28">
        <f>HLOOKUP($A28,Content_Platform!$C$2:$J$12,3,FALSE)</f>
        <v>0.25</v>
      </c>
      <c r="E28" s="28">
        <f>HLOOKUP($A28,Content_Platform!$C$2:$J$12,4,FALSE)</f>
        <v>1.25</v>
      </c>
      <c r="F28" s="28">
        <f>HLOOKUP($A28,Content_Platform!$C$2:$J$12,5,FALSE)</f>
        <v>2</v>
      </c>
      <c r="G28" s="28">
        <f>HLOOKUP($A28,Content_Platform!$C$2:$J$12,6,FALSE)</f>
        <v>0.75</v>
      </c>
      <c r="H28" s="28">
        <f>HLOOKUP($A28,Content_Platform!$C$2:$J$12,7,FALSE)</f>
        <v>2.75</v>
      </c>
      <c r="I28" s="28">
        <f>HLOOKUP($A28,Content_Platform!$C$2:$J$12,8,FALSE)</f>
        <v>0.25</v>
      </c>
      <c r="J28" s="28">
        <f>HLOOKUP($A28,Content_Platform!$C$2:$J$12,9,FALSE)</f>
        <v>0.5</v>
      </c>
      <c r="K28" s="1"/>
      <c r="L28" s="19"/>
      <c r="M28" s="15"/>
      <c r="N28" s="15"/>
      <c r="O28" s="15"/>
    </row>
    <row r="29" spans="1:18">
      <c r="A29" s="30" t="str">
        <f>INDEX(A12:A16,MATCH(1,INDEX((C12:C16=LARGE(C12:C16,ROWS(A24:A28)))*(COUNTIF(A24:A28,A12:A16)=0),),0))</f>
        <v>Pinterest</v>
      </c>
      <c r="B29" s="32">
        <f>VLOOKUP(A29,$A$12:$C$16,3,FALSE)</f>
        <v>14.814814814814813</v>
      </c>
      <c r="C29" s="29">
        <f>HLOOKUP($A29,Content_Platform!$C$2:$J$12,2,FALSE)</f>
        <v>2.25</v>
      </c>
      <c r="D29" s="28">
        <f>HLOOKUP($A29,Content_Platform!$C$2:$J$12,3,FALSE)</f>
        <v>0.5</v>
      </c>
      <c r="E29" s="28">
        <f>HLOOKUP($A29,Content_Platform!$C$2:$J$12,4,FALSE)</f>
        <v>0.75</v>
      </c>
      <c r="F29" s="28">
        <f>HLOOKUP($A29,Content_Platform!$C$2:$J$12,5,FALSE)</f>
        <v>3</v>
      </c>
      <c r="G29" s="28">
        <f>HLOOKUP($A29,Content_Platform!$C$2:$J$12,6,FALSE)</f>
        <v>0.5</v>
      </c>
      <c r="H29" s="28">
        <f>HLOOKUP($A29,Content_Platform!$C$2:$J$12,7,FALSE)</f>
        <v>0.66666666666666663</v>
      </c>
      <c r="I29" s="28">
        <f>HLOOKUP($A29,Content_Platform!$C$2:$J$12,8,FALSE)</f>
        <v>0.33333333333333331</v>
      </c>
      <c r="J29" s="28">
        <f>HLOOKUP($A29,Content_Platform!$C$2:$J$12,9,FALSE)</f>
        <v>0.33333333333333331</v>
      </c>
      <c r="K29" s="1"/>
      <c r="M29" s="15"/>
      <c r="N29" s="15"/>
      <c r="O29" s="15"/>
    </row>
    <row r="30" spans="1:18">
      <c r="A30" s="15"/>
      <c r="B30" s="15"/>
      <c r="C30" s="15"/>
      <c r="D30" s="15"/>
      <c r="L30" s="15"/>
      <c r="M30" s="15"/>
      <c r="N30" s="15"/>
      <c r="O30" s="15"/>
    </row>
    <row r="31" spans="1:18">
      <c r="A31" s="33" t="s">
        <v>33</v>
      </c>
      <c r="B31" s="31" t="s">
        <v>31</v>
      </c>
      <c r="C31" s="21" t="s">
        <v>18</v>
      </c>
      <c r="D31" s="21"/>
      <c r="E31" s="21"/>
      <c r="F31" s="21"/>
      <c r="G31" s="21"/>
      <c r="H31" s="21"/>
      <c r="I31" s="21"/>
      <c r="J31" s="21"/>
      <c r="L31" s="15"/>
      <c r="M31" s="15"/>
      <c r="N31" s="15"/>
      <c r="O31" s="15"/>
      <c r="P31" s="15"/>
    </row>
    <row r="32" spans="1:18">
      <c r="A32" s="34"/>
      <c r="B32" s="31"/>
      <c r="C32" s="27" t="s">
        <v>4</v>
      </c>
      <c r="D32" s="27" t="s">
        <v>6</v>
      </c>
      <c r="E32" s="27" t="s">
        <v>7</v>
      </c>
      <c r="F32" s="27" t="s">
        <v>10</v>
      </c>
      <c r="G32" s="27" t="s">
        <v>11</v>
      </c>
      <c r="H32" s="27" t="s">
        <v>13</v>
      </c>
      <c r="I32" s="27" t="s">
        <v>15</v>
      </c>
      <c r="J32" s="27" t="s">
        <v>16</v>
      </c>
      <c r="K32" s="1"/>
      <c r="L32" s="1" t="s">
        <v>32</v>
      </c>
    </row>
    <row r="33" spans="1:12">
      <c r="A33" s="30" t="str">
        <f>INDEX(A19:A20,MATCH(1,INDEX((C19:C20=LARGE(C19:C20,ROWS(A32)))*(COUNTIF(A32,A19:A20)=0),),0))</f>
        <v>Own website</v>
      </c>
      <c r="B33" s="32">
        <f>VLOOKUP(A33,$A$19:$C$20,3,FALSE)</f>
        <v>53.703703703703709</v>
      </c>
      <c r="C33" s="29">
        <f>HLOOKUP($A33,Content_Platform!$C$2:$J$12,2,FALSE)</f>
        <v>2.5</v>
      </c>
      <c r="D33" s="28">
        <f>HLOOKUP($A33,Content_Platform!$C$2:$J$12,3,FALSE)</f>
        <v>2.25</v>
      </c>
      <c r="E33" s="28">
        <f>HLOOKUP($A33,Content_Platform!$C$2:$J$12,4,FALSE)</f>
        <v>2</v>
      </c>
      <c r="F33" s="28">
        <f>HLOOKUP($A33,Content_Platform!$C$2:$J$12,5,FALSE)</f>
        <v>2.75</v>
      </c>
      <c r="G33" s="28">
        <f>HLOOKUP($A33,Content_Platform!$C$2:$J$12,6,FALSE)</f>
        <v>1.75</v>
      </c>
      <c r="H33" s="28">
        <f>HLOOKUP($A33,Content_Platform!$C$2:$J$12,7,FALSE)</f>
        <v>2.25</v>
      </c>
      <c r="I33" s="28">
        <f>HLOOKUP($A33,Content_Platform!$C$2:$J$12,8,FALSE)</f>
        <v>1.75</v>
      </c>
      <c r="J33" s="28">
        <f>HLOOKUP($A33,Content_Platform!$C$2:$J$12,9,FALSE)</f>
        <v>2.25</v>
      </c>
      <c r="K33" s="1"/>
    </row>
    <row r="34" spans="1:12">
      <c r="A34" s="30" t="str">
        <f>INDEX(A19:A20,MATCH(1,INDEX((C19:C20=LARGE(C19:C20,ROWS(A32:A33)))*(COUNTIF(A32:A33,A19:A20)=0),),0))</f>
        <v>Email</v>
      </c>
      <c r="B34" s="32">
        <f>VLOOKUP(A34,$A$19:$C$20,3,FALSE)</f>
        <v>21.296296296296298</v>
      </c>
      <c r="C34" s="29">
        <f>HLOOKUP($A34,Content_Platform!$C$2:$J$12,2,FALSE)</f>
        <v>1.75</v>
      </c>
      <c r="D34" s="28">
        <f>HLOOKUP($A34,Content_Platform!$C$2:$J$12,3,FALSE)</f>
        <v>0.25</v>
      </c>
      <c r="E34" s="28">
        <f>HLOOKUP($A34,Content_Platform!$C$2:$J$12,4,FALSE)</f>
        <v>0.25</v>
      </c>
      <c r="F34" s="28">
        <f>HLOOKUP($A34,Content_Platform!$C$2:$J$12,5,FALSE)</f>
        <v>2.5</v>
      </c>
      <c r="G34" s="28">
        <f>HLOOKUP($A34,Content_Platform!$C$2:$J$12,6,FALSE)</f>
        <v>0.25</v>
      </c>
      <c r="H34" s="28">
        <f>HLOOKUP($A34,Content_Platform!$C$2:$J$12,7,FALSE)</f>
        <v>2.5</v>
      </c>
      <c r="I34" s="28">
        <f>HLOOKUP($A34,Content_Platform!$C$2:$J$12,8,FALSE)</f>
        <v>1.5</v>
      </c>
      <c r="J34" s="28">
        <f>HLOOKUP($A34,Content_Platform!$C$2:$J$12,9,FALSE)</f>
        <v>0</v>
      </c>
      <c r="K34" s="1"/>
    </row>
    <row r="35" spans="1:12">
      <c r="K35" s="1"/>
    </row>
    <row r="36" spans="1:12">
      <c r="A36" s="39"/>
      <c r="B36" s="39"/>
      <c r="C36" s="39"/>
      <c r="D36" s="39"/>
      <c r="E36" s="40"/>
      <c r="F36" s="40"/>
      <c r="G36" s="40"/>
      <c r="H36" s="40"/>
      <c r="I36" s="40"/>
      <c r="J36" s="40"/>
      <c r="K36" s="40"/>
      <c r="L36" s="39"/>
    </row>
    <row r="38" spans="1:12">
      <c r="A38" s="16" t="s">
        <v>34</v>
      </c>
      <c r="B38" s="20"/>
      <c r="C38" s="17" t="s">
        <v>1</v>
      </c>
      <c r="E38" s="35" t="s">
        <v>2</v>
      </c>
      <c r="G38" s="35" t="s">
        <v>3</v>
      </c>
    </row>
    <row r="39" spans="1:12">
      <c r="A39" s="45" t="s">
        <v>35</v>
      </c>
      <c r="B39" s="46"/>
      <c r="C39" s="18" t="s">
        <v>36</v>
      </c>
      <c r="E39" s="38">
        <f>VLOOKUP(C39,Lists!$D$1:$E$5,2,FALSE)</f>
        <v>1</v>
      </c>
      <c r="G39" s="38">
        <f>MAX(Objective_Metric!$G$3:$L$48)</f>
        <v>3</v>
      </c>
    </row>
    <row r="40" spans="1:12">
      <c r="A40" s="47" t="s">
        <v>37</v>
      </c>
      <c r="B40" s="48"/>
      <c r="C40" s="18" t="s">
        <v>38</v>
      </c>
      <c r="E40" s="38">
        <f>VLOOKUP(C40,Lists!$D$1:$E$5,2,FALSE)</f>
        <v>3</v>
      </c>
    </row>
    <row r="41" spans="1:12">
      <c r="A41" s="47" t="s">
        <v>39</v>
      </c>
      <c r="B41" s="48"/>
      <c r="C41" s="18" t="s">
        <v>40</v>
      </c>
      <c r="E41" s="38">
        <f>VLOOKUP(C41,Lists!$D$1:$E$5,2,FALSE)</f>
        <v>0</v>
      </c>
      <c r="G41" s="35" t="s">
        <v>9</v>
      </c>
    </row>
    <row r="42" spans="1:12">
      <c r="A42" s="47" t="s">
        <v>41</v>
      </c>
      <c r="B42" s="48"/>
      <c r="C42" s="18" t="s">
        <v>40</v>
      </c>
      <c r="E42" s="38">
        <f>VLOOKUP(C42,Lists!$D$1:$E$5,2,FALSE)</f>
        <v>0</v>
      </c>
      <c r="G42" s="38">
        <f>MAX(Lists!$E$2:$E$5)</f>
        <v>3</v>
      </c>
    </row>
    <row r="43" spans="1:12">
      <c r="A43" s="47" t="s">
        <v>42</v>
      </c>
      <c r="B43" s="48"/>
      <c r="C43" s="18" t="s">
        <v>40</v>
      </c>
      <c r="E43" s="38">
        <f>VLOOKUP(C43,Lists!$D$1:$E$5,2,FALSE)</f>
        <v>0</v>
      </c>
    </row>
    <row r="44" spans="1:12">
      <c r="A44" s="43" t="s">
        <v>43</v>
      </c>
      <c r="B44" s="44"/>
      <c r="C44" s="18" t="s">
        <v>40</v>
      </c>
      <c r="E44" s="38">
        <f>VLOOKUP(C44,Lists!$D$1:$E$5,2,FALSE)</f>
        <v>0</v>
      </c>
      <c r="G44" s="35" t="s">
        <v>44</v>
      </c>
    </row>
    <row r="45" spans="1:12">
      <c r="G45" s="38">
        <f>(((6-COUNTIF($C$39:$C$44,"This is not an objective"))*(G39*G42)))</f>
        <v>18</v>
      </c>
    </row>
    <row r="46" spans="1:12">
      <c r="A46" s="35" t="s">
        <v>45</v>
      </c>
      <c r="B46" s="35" t="s">
        <v>18</v>
      </c>
      <c r="C46" s="35" t="s">
        <v>19</v>
      </c>
      <c r="D46" s="19"/>
    </row>
    <row r="47" spans="1:12">
      <c r="A47" s="36" t="s">
        <v>46</v>
      </c>
      <c r="B47" s="37">
        <f>($E$39*VLOOKUP('Workings surfaced'!A47,Objective_Metric!$F$3:$M$48,2,FALSE))+($E$40*VLOOKUP('Workings surfaced'!A47,Objective_Metric!$F$3:$M$48,3,FALSE))+($E$41*VLOOKUP('Workings surfaced'!A47,Objective_Metric!$F$3:$M$48,4,FALSE))+($E$42*VLOOKUP('Workings surfaced'!A47,Objective_Metric!$F$3:$M$48,5,FALSE))+($E$43*VLOOKUP('Workings surfaced'!A47,Objective_Metric!$F$3:$M$48,6,FALSE))+($E$44*VLOOKUP('Workings surfaced'!A47,Objective_Metric!$F$3:$M$48,7,FALSE))</f>
        <v>9.3333333333333339</v>
      </c>
      <c r="C47" s="38">
        <f>(B47/$G$45)*100</f>
        <v>51.851851851851862</v>
      </c>
      <c r="D47" s="19"/>
      <c r="E47" s="41" t="s">
        <v>20</v>
      </c>
    </row>
    <row r="48" spans="1:12">
      <c r="A48" s="36" t="s">
        <v>47</v>
      </c>
      <c r="B48" s="37">
        <f>($E$39*VLOOKUP('Workings surfaced'!A48,Objective_Metric!$F$3:$M$48,2,FALSE))+($E$40*VLOOKUP('Workings surfaced'!A48,Objective_Metric!$F$3:$M$48,3,FALSE))+($E$41*VLOOKUP('Workings surfaced'!A48,Objective_Metric!$F$3:$M$48,4,FALSE))+($E$42*VLOOKUP('Workings surfaced'!A48,Objective_Metric!$F$3:$M$48,5,FALSE))+($E$43*VLOOKUP('Workings surfaced'!A48,Objective_Metric!$F$3:$M$48,6,FALSE))+($E$44*VLOOKUP('Workings surfaced'!A48,Objective_Metric!$F$3:$M$48,7,FALSE))</f>
        <v>6.3333333333333339</v>
      </c>
      <c r="C48" s="38">
        <f>(B48/$G$45)*100</f>
        <v>35.185185185185183</v>
      </c>
    </row>
    <row r="49" spans="1:6">
      <c r="A49" s="36" t="s">
        <v>48</v>
      </c>
      <c r="B49" s="37">
        <f>($E$39*VLOOKUP('Workings surfaced'!A49,Objective_Metric!$F$3:$M$48,2,FALSE))+($E$40*VLOOKUP('Workings surfaced'!A49,Objective_Metric!$F$3:$M$48,3,FALSE))+($E$41*VLOOKUP('Workings surfaced'!A49,Objective_Metric!$F$3:$M$48,4,FALSE))+($E$42*VLOOKUP('Workings surfaced'!A49,Objective_Metric!$F$3:$M$48,5,FALSE))+($E$43*VLOOKUP('Workings surfaced'!A49,Objective_Metric!$F$3:$M$48,6,FALSE))+($E$44*VLOOKUP('Workings surfaced'!A49,Objective_Metric!$F$3:$M$48,7,FALSE))</f>
        <v>6.6666666666666661</v>
      </c>
      <c r="C49" s="38">
        <f t="shared" ref="C49:C77" si="0">(B49/$G$45)*100</f>
        <v>37.037037037037038</v>
      </c>
    </row>
    <row r="50" spans="1:6">
      <c r="A50" s="36" t="s">
        <v>49</v>
      </c>
      <c r="B50" s="37">
        <f>($E$39*VLOOKUP('Workings surfaced'!A50,Objective_Metric!$F$3:$M$48,2,FALSE))+($E$40*VLOOKUP('Workings surfaced'!A50,Objective_Metric!$F$3:$M$48,3,FALSE))+($E$41*VLOOKUP('Workings surfaced'!A50,Objective_Metric!$F$3:$M$48,4,FALSE))+($E$42*VLOOKUP('Workings surfaced'!A50,Objective_Metric!$F$3:$M$48,5,FALSE))+($E$43*VLOOKUP('Workings surfaced'!A50,Objective_Metric!$F$3:$M$48,6,FALSE))+($E$44*VLOOKUP('Workings surfaced'!A50,Objective_Metric!$F$3:$M$48,7,FALSE))</f>
        <v>8</v>
      </c>
      <c r="C50" s="38">
        <f t="shared" si="0"/>
        <v>44.444444444444443</v>
      </c>
    </row>
    <row r="51" spans="1:6">
      <c r="A51" s="36" t="s">
        <v>50</v>
      </c>
      <c r="B51" s="37">
        <f>($E$39*VLOOKUP('Workings surfaced'!A51,Objective_Metric!$F$3:$M$48,2,FALSE))+($E$40*VLOOKUP('Workings surfaced'!A51,Objective_Metric!$F$3:$M$48,3,FALSE))+($E$41*VLOOKUP('Workings surfaced'!A51,Objective_Metric!$F$3:$M$48,4,FALSE))+($E$42*VLOOKUP('Workings surfaced'!A51,Objective_Metric!$F$3:$M$48,5,FALSE))+($E$43*VLOOKUP('Workings surfaced'!A51,Objective_Metric!$F$3:$M$48,6,FALSE))+($E$44*VLOOKUP('Workings surfaced'!A51,Objective_Metric!$F$3:$M$48,7,FALSE))</f>
        <v>6.6666666666666661</v>
      </c>
      <c r="C51" s="38">
        <f t="shared" si="0"/>
        <v>37.037037037037038</v>
      </c>
      <c r="F51" s="15" t="s">
        <v>51</v>
      </c>
    </row>
    <row r="52" spans="1:6">
      <c r="A52" s="36" t="s">
        <v>52</v>
      </c>
      <c r="B52" s="37">
        <f>($E$39*VLOOKUP('Workings surfaced'!A52,Objective_Metric!$F$3:$M$48,2,FALSE))+($E$40*VLOOKUP('Workings surfaced'!A52,Objective_Metric!$F$3:$M$48,3,FALSE))+($E$41*VLOOKUP('Workings surfaced'!A52,Objective_Metric!$F$3:$M$48,4,FALSE))+($E$42*VLOOKUP('Workings surfaced'!A52,Objective_Metric!$F$3:$M$48,5,FALSE))+($E$43*VLOOKUP('Workings surfaced'!A52,Objective_Metric!$F$3:$M$48,6,FALSE))+($E$44*VLOOKUP('Workings surfaced'!A52,Objective_Metric!$F$3:$M$48,7,FALSE))</f>
        <v>9.6666666666666661</v>
      </c>
      <c r="C52" s="38">
        <f t="shared" si="0"/>
        <v>53.703703703703695</v>
      </c>
    </row>
    <row r="53" spans="1:6">
      <c r="A53" s="36" t="s">
        <v>53</v>
      </c>
      <c r="B53" s="37">
        <f>($E$39*VLOOKUP('Workings surfaced'!A53,Objective_Metric!$F$3:$M$48,2,FALSE))+($E$40*VLOOKUP('Workings surfaced'!A53,Objective_Metric!$F$3:$M$48,3,FALSE))+($E$41*VLOOKUP('Workings surfaced'!A53,Objective_Metric!$F$3:$M$48,4,FALSE))+($E$42*VLOOKUP('Workings surfaced'!A53,Objective_Metric!$F$3:$M$48,5,FALSE))+($E$43*VLOOKUP('Workings surfaced'!A53,Objective_Metric!$F$3:$M$48,6,FALSE))+($E$44*VLOOKUP('Workings surfaced'!A53,Objective_Metric!$F$3:$M$48,7,FALSE))</f>
        <v>10</v>
      </c>
      <c r="C53" s="38">
        <f t="shared" si="0"/>
        <v>55.555555555555557</v>
      </c>
    </row>
    <row r="54" spans="1:6">
      <c r="A54" s="36" t="s">
        <v>54</v>
      </c>
      <c r="B54" s="37">
        <f>($E$39*VLOOKUP('Workings surfaced'!A54,Objective_Metric!$F$3:$M$48,2,FALSE))+($E$40*VLOOKUP('Workings surfaced'!A54,Objective_Metric!$F$3:$M$48,3,FALSE))+($E$41*VLOOKUP('Workings surfaced'!A54,Objective_Metric!$F$3:$M$48,4,FALSE))+($E$42*VLOOKUP('Workings surfaced'!A54,Objective_Metric!$F$3:$M$48,5,FALSE))+($E$43*VLOOKUP('Workings surfaced'!A54,Objective_Metric!$F$3:$M$48,6,FALSE))+($E$44*VLOOKUP('Workings surfaced'!A54,Objective_Metric!$F$3:$M$48,7,FALSE))</f>
        <v>9.3333333333333339</v>
      </c>
      <c r="C54" s="38">
        <f t="shared" si="0"/>
        <v>51.851851851851862</v>
      </c>
    </row>
    <row r="55" spans="1:6">
      <c r="A55" s="36" t="s">
        <v>55</v>
      </c>
      <c r="B55" s="37">
        <f>($E$39*VLOOKUP('Workings surfaced'!A55,Objective_Metric!$F$3:$M$48,2,FALSE))+($E$40*VLOOKUP('Workings surfaced'!A55,Objective_Metric!$F$3:$M$48,3,FALSE))+($E$41*VLOOKUP('Workings surfaced'!A55,Objective_Metric!$F$3:$M$48,4,FALSE))+($E$42*VLOOKUP('Workings surfaced'!A55,Objective_Metric!$F$3:$M$48,5,FALSE))+($E$43*VLOOKUP('Workings surfaced'!A55,Objective_Metric!$F$3:$M$48,6,FALSE))+($E$44*VLOOKUP('Workings surfaced'!A55,Objective_Metric!$F$3:$M$48,7,FALSE))</f>
        <v>5.666666666666667</v>
      </c>
      <c r="C55" s="38">
        <f t="shared" si="0"/>
        <v>31.481481481481481</v>
      </c>
    </row>
    <row r="56" spans="1:6">
      <c r="A56" s="36" t="s">
        <v>56</v>
      </c>
      <c r="B56" s="37">
        <f>($E$39*VLOOKUP('Workings surfaced'!A56,Objective_Metric!$F$3:$M$48,2,FALSE))+($E$40*VLOOKUP('Workings surfaced'!A56,Objective_Metric!$F$3:$M$48,3,FALSE))+($E$41*VLOOKUP('Workings surfaced'!A56,Objective_Metric!$F$3:$M$48,4,FALSE))+($E$42*VLOOKUP('Workings surfaced'!A56,Objective_Metric!$F$3:$M$48,5,FALSE))+($E$43*VLOOKUP('Workings surfaced'!A56,Objective_Metric!$F$3:$M$48,6,FALSE))+($E$44*VLOOKUP('Workings surfaced'!A56,Objective_Metric!$F$3:$M$48,7,FALSE))</f>
        <v>8</v>
      </c>
      <c r="C56" s="38">
        <f t="shared" si="0"/>
        <v>44.444444444444443</v>
      </c>
    </row>
    <row r="57" spans="1:6">
      <c r="A57" s="36" t="s">
        <v>57</v>
      </c>
      <c r="B57" s="37">
        <f>($E$39*VLOOKUP('Workings surfaced'!A57,Objective_Metric!$F$3:$M$48,2,FALSE))+($E$40*VLOOKUP('Workings surfaced'!A57,Objective_Metric!$F$3:$M$48,3,FALSE))+($E$41*VLOOKUP('Workings surfaced'!A57,Objective_Metric!$F$3:$M$48,4,FALSE))+($E$42*VLOOKUP('Workings surfaced'!A57,Objective_Metric!$F$3:$M$48,5,FALSE))+($E$43*VLOOKUP('Workings surfaced'!A57,Objective_Metric!$F$3:$M$48,6,FALSE))+($E$44*VLOOKUP('Workings surfaced'!A57,Objective_Metric!$F$3:$M$48,7,FALSE))</f>
        <v>7</v>
      </c>
      <c r="C57" s="38">
        <f t="shared" si="0"/>
        <v>38.888888888888893</v>
      </c>
    </row>
    <row r="58" spans="1:6">
      <c r="A58" s="36" t="s">
        <v>58</v>
      </c>
      <c r="B58" s="37">
        <f>($E$39*VLOOKUP('Workings surfaced'!A58,Objective_Metric!$F$3:$M$48,2,FALSE))+($E$40*VLOOKUP('Workings surfaced'!A58,Objective_Metric!$F$3:$M$48,3,FALSE))+($E$41*VLOOKUP('Workings surfaced'!A58,Objective_Metric!$F$3:$M$48,4,FALSE))+($E$42*VLOOKUP('Workings surfaced'!A58,Objective_Metric!$F$3:$M$48,5,FALSE))+($E$43*VLOOKUP('Workings surfaced'!A58,Objective_Metric!$F$3:$M$48,6,FALSE))+($E$44*VLOOKUP('Workings surfaced'!A58,Objective_Metric!$F$3:$M$48,7,FALSE))</f>
        <v>8.6666666666666661</v>
      </c>
      <c r="C58" s="38">
        <f t="shared" si="0"/>
        <v>48.148148148148145</v>
      </c>
    </row>
    <row r="59" spans="1:6">
      <c r="A59" s="36" t="s">
        <v>59</v>
      </c>
      <c r="B59" s="37">
        <f>($E$39*VLOOKUP('Workings surfaced'!A59,Objective_Metric!$F$3:$M$48,2,FALSE))+($E$40*VLOOKUP('Workings surfaced'!A59,Objective_Metric!$F$3:$M$48,3,FALSE))+($E$41*VLOOKUP('Workings surfaced'!A59,Objective_Metric!$F$3:$M$48,4,FALSE))+($E$42*VLOOKUP('Workings surfaced'!A59,Objective_Metric!$F$3:$M$48,5,FALSE))+($E$43*VLOOKUP('Workings surfaced'!A59,Objective_Metric!$F$3:$M$48,6,FALSE))+($E$44*VLOOKUP('Workings surfaced'!A59,Objective_Metric!$F$3:$M$48,7,FALSE))</f>
        <v>7.666666666666667</v>
      </c>
      <c r="C59" s="38">
        <f t="shared" si="0"/>
        <v>42.592592592592595</v>
      </c>
    </row>
    <row r="60" spans="1:6">
      <c r="A60" s="36" t="s">
        <v>60</v>
      </c>
      <c r="B60" s="37">
        <f>($E$39*VLOOKUP('Workings surfaced'!A60,Objective_Metric!$F$3:$M$48,2,FALSE))+($E$40*VLOOKUP('Workings surfaced'!A60,Objective_Metric!$F$3:$M$48,3,FALSE))+($E$41*VLOOKUP('Workings surfaced'!A60,Objective_Metric!$F$3:$M$48,4,FALSE))+($E$42*VLOOKUP('Workings surfaced'!A60,Objective_Metric!$F$3:$M$48,5,FALSE))+($E$43*VLOOKUP('Workings surfaced'!A60,Objective_Metric!$F$3:$M$48,6,FALSE))+($E$44*VLOOKUP('Workings surfaced'!A60,Objective_Metric!$F$3:$M$48,7,FALSE))</f>
        <v>11.666666666666666</v>
      </c>
      <c r="C60" s="38">
        <f t="shared" si="0"/>
        <v>64.81481481481481</v>
      </c>
    </row>
    <row r="61" spans="1:6">
      <c r="A61" s="36" t="s">
        <v>61</v>
      </c>
      <c r="B61" s="37">
        <f>($E$39*VLOOKUP('Workings surfaced'!A61,Objective_Metric!$F$3:$M$48,2,FALSE))+($E$40*VLOOKUP('Workings surfaced'!A61,Objective_Metric!$F$3:$M$48,3,FALSE))+($E$41*VLOOKUP('Workings surfaced'!A61,Objective_Metric!$F$3:$M$48,4,FALSE))+($E$42*VLOOKUP('Workings surfaced'!A61,Objective_Metric!$F$3:$M$48,5,FALSE))+($E$43*VLOOKUP('Workings surfaced'!A61,Objective_Metric!$F$3:$M$48,6,FALSE))+($E$44*VLOOKUP('Workings surfaced'!A61,Objective_Metric!$F$3:$M$48,7,FALSE))</f>
        <v>7.6666666666666661</v>
      </c>
      <c r="C61" s="38">
        <f t="shared" si="0"/>
        <v>42.592592592592588</v>
      </c>
    </row>
    <row r="62" spans="1:6">
      <c r="A62" s="36" t="s">
        <v>62</v>
      </c>
      <c r="B62" s="37">
        <f>($E$39*VLOOKUP('Workings surfaced'!A62,Objective_Metric!$F$3:$M$48,2,FALSE))+($E$40*VLOOKUP('Workings surfaced'!A62,Objective_Metric!$F$3:$M$48,3,FALSE))+($E$41*VLOOKUP('Workings surfaced'!A62,Objective_Metric!$F$3:$M$48,4,FALSE))+($E$42*VLOOKUP('Workings surfaced'!A62,Objective_Metric!$F$3:$M$48,5,FALSE))+($E$43*VLOOKUP('Workings surfaced'!A62,Objective_Metric!$F$3:$M$48,6,FALSE))+($E$44*VLOOKUP('Workings surfaced'!A62,Objective_Metric!$F$3:$M$48,7,FALSE))</f>
        <v>3.666666666666667</v>
      </c>
      <c r="C62" s="38">
        <f t="shared" si="0"/>
        <v>20.370370370370374</v>
      </c>
    </row>
    <row r="63" spans="1:6">
      <c r="A63" s="36" t="s">
        <v>63</v>
      </c>
      <c r="B63" s="37">
        <f>($E$39*VLOOKUP('Workings surfaced'!A63,Objective_Metric!$F$3:$M$48,2,FALSE))+($E$40*VLOOKUP('Workings surfaced'!A63,Objective_Metric!$F$3:$M$48,3,FALSE))+($E$41*VLOOKUP('Workings surfaced'!A63,Objective_Metric!$F$3:$M$48,4,FALSE))+($E$42*VLOOKUP('Workings surfaced'!A63,Objective_Metric!$F$3:$M$48,5,FALSE))+($E$43*VLOOKUP('Workings surfaced'!A63,Objective_Metric!$F$3:$M$48,6,FALSE))+($E$44*VLOOKUP('Workings surfaced'!A63,Objective_Metric!$F$3:$M$48,7,FALSE))</f>
        <v>8</v>
      </c>
      <c r="C63" s="38">
        <f t="shared" si="0"/>
        <v>44.444444444444443</v>
      </c>
    </row>
    <row r="64" spans="1:6">
      <c r="A64" s="36" t="s">
        <v>64</v>
      </c>
      <c r="B64" s="37">
        <f>($E$39*VLOOKUP('Workings surfaced'!A64,Objective_Metric!$F$3:$M$48,2,FALSE))+($E$40*VLOOKUP('Workings surfaced'!A64,Objective_Metric!$F$3:$M$48,3,FALSE))+($E$41*VLOOKUP('Workings surfaced'!A64,Objective_Metric!$F$3:$M$48,4,FALSE))+($E$42*VLOOKUP('Workings surfaced'!A64,Objective_Metric!$F$3:$M$48,5,FALSE))+($E$43*VLOOKUP('Workings surfaced'!A64,Objective_Metric!$F$3:$M$48,6,FALSE))+($E$44*VLOOKUP('Workings surfaced'!A64,Objective_Metric!$F$3:$M$48,7,FALSE))</f>
        <v>6.3333333333333339</v>
      </c>
      <c r="C64" s="38">
        <f t="shared" si="0"/>
        <v>35.185185185185183</v>
      </c>
    </row>
    <row r="65" spans="1:4">
      <c r="A65" s="36" t="s">
        <v>65</v>
      </c>
      <c r="B65" s="37">
        <f>($E$39*VLOOKUP('Workings surfaced'!A65,Objective_Metric!$F$3:$M$48,2,FALSE))+($E$40*VLOOKUP('Workings surfaced'!A65,Objective_Metric!$F$3:$M$48,3,FALSE))+($E$41*VLOOKUP('Workings surfaced'!A65,Objective_Metric!$F$3:$M$48,4,FALSE))+($E$42*VLOOKUP('Workings surfaced'!A65,Objective_Metric!$F$3:$M$48,5,FALSE))+($E$43*VLOOKUP('Workings surfaced'!A65,Objective_Metric!$F$3:$M$48,6,FALSE))+($E$44*VLOOKUP('Workings surfaced'!A65,Objective_Metric!$F$3:$M$48,7,FALSE))</f>
        <v>4.666666666666667</v>
      </c>
      <c r="C65" s="38">
        <f t="shared" si="0"/>
        <v>25.925925925925931</v>
      </c>
    </row>
    <row r="66" spans="1:4">
      <c r="A66" s="36" t="s">
        <v>66</v>
      </c>
      <c r="B66" s="37">
        <f>($E$39*VLOOKUP('Workings surfaced'!A66,Objective_Metric!$F$3:$M$48,2,FALSE))+($E$40*VLOOKUP('Workings surfaced'!A66,Objective_Metric!$F$3:$M$48,3,FALSE))+($E$41*VLOOKUP('Workings surfaced'!A66,Objective_Metric!$F$3:$M$48,4,FALSE))+($E$42*VLOOKUP('Workings surfaced'!A66,Objective_Metric!$F$3:$M$48,5,FALSE))+($E$43*VLOOKUP('Workings surfaced'!A66,Objective_Metric!$F$3:$M$48,6,FALSE))+($E$44*VLOOKUP('Workings surfaced'!A66,Objective_Metric!$F$3:$M$48,7,FALSE))</f>
        <v>4.6666666666666661</v>
      </c>
      <c r="C66" s="38">
        <f t="shared" si="0"/>
        <v>25.925925925925924</v>
      </c>
    </row>
    <row r="67" spans="1:4">
      <c r="A67" s="36" t="s">
        <v>67</v>
      </c>
      <c r="B67" s="37">
        <f>($E$39*VLOOKUP('Workings surfaced'!A67,Objective_Metric!$F$3:$M$48,2,FALSE))+($E$40*VLOOKUP('Workings surfaced'!A67,Objective_Metric!$F$3:$M$48,3,FALSE))+($E$41*VLOOKUP('Workings surfaced'!A67,Objective_Metric!$F$3:$M$48,4,FALSE))+($E$42*VLOOKUP('Workings surfaced'!A67,Objective_Metric!$F$3:$M$48,5,FALSE))+($E$43*VLOOKUP('Workings surfaced'!A67,Objective_Metric!$F$3:$M$48,6,FALSE))+($E$44*VLOOKUP('Workings surfaced'!A67,Objective_Metric!$F$3:$M$48,7,FALSE))</f>
        <v>11.333333333333334</v>
      </c>
      <c r="C67" s="38">
        <f t="shared" si="0"/>
        <v>62.962962962962962</v>
      </c>
    </row>
    <row r="68" spans="1:4">
      <c r="A68" s="36" t="s">
        <v>68</v>
      </c>
      <c r="B68" s="37">
        <f>($E$39*VLOOKUP('Workings surfaced'!A68,Objective_Metric!$F$3:$M$48,2,FALSE))+($E$40*VLOOKUP('Workings surfaced'!A68,Objective_Metric!$F$3:$M$48,3,FALSE))+($E$41*VLOOKUP('Workings surfaced'!A68,Objective_Metric!$F$3:$M$48,4,FALSE))+($E$42*VLOOKUP('Workings surfaced'!A68,Objective_Metric!$F$3:$M$48,5,FALSE))+($E$43*VLOOKUP('Workings surfaced'!A68,Objective_Metric!$F$3:$M$48,6,FALSE))+($E$44*VLOOKUP('Workings surfaced'!A68,Objective_Metric!$F$3:$M$48,7,FALSE))</f>
        <v>3</v>
      </c>
      <c r="C68" s="38">
        <f t="shared" si="0"/>
        <v>16.666666666666664</v>
      </c>
    </row>
    <row r="69" spans="1:4">
      <c r="A69" s="36" t="s">
        <v>69</v>
      </c>
      <c r="B69" s="37">
        <f>($E$39*VLOOKUP('Workings surfaced'!A69,Objective_Metric!$F$3:$M$48,2,FALSE))+($E$40*VLOOKUP('Workings surfaced'!A69,Objective_Metric!$F$3:$M$48,3,FALSE))+($E$41*VLOOKUP('Workings surfaced'!A69,Objective_Metric!$F$3:$M$48,4,FALSE))+($E$42*VLOOKUP('Workings surfaced'!A69,Objective_Metric!$F$3:$M$48,5,FALSE))+($E$43*VLOOKUP('Workings surfaced'!A69,Objective_Metric!$F$3:$M$48,6,FALSE))+($E$44*VLOOKUP('Workings surfaced'!A69,Objective_Metric!$F$3:$M$48,7,FALSE))</f>
        <v>7.3333333333333339</v>
      </c>
      <c r="C69" s="38">
        <f t="shared" si="0"/>
        <v>40.740740740740748</v>
      </c>
    </row>
    <row r="70" spans="1:4">
      <c r="A70" s="36" t="s">
        <v>70</v>
      </c>
      <c r="B70" s="37">
        <f>($E$39*VLOOKUP('Workings surfaced'!A70,Objective_Metric!$F$3:$M$48,2,FALSE))+($E$40*VLOOKUP('Workings surfaced'!A70,Objective_Metric!$F$3:$M$48,3,FALSE))+($E$41*VLOOKUP('Workings surfaced'!A70,Objective_Metric!$F$3:$M$48,4,FALSE))+($E$42*VLOOKUP('Workings surfaced'!A70,Objective_Metric!$F$3:$M$48,5,FALSE))+($E$43*VLOOKUP('Workings surfaced'!A70,Objective_Metric!$F$3:$M$48,6,FALSE))+($E$44*VLOOKUP('Workings surfaced'!A70,Objective_Metric!$F$3:$M$48,7,FALSE))</f>
        <v>7.3333333333333339</v>
      </c>
      <c r="C70" s="38">
        <f t="shared" si="0"/>
        <v>40.740740740740748</v>
      </c>
    </row>
    <row r="71" spans="1:4">
      <c r="A71" s="36" t="s">
        <v>71</v>
      </c>
      <c r="B71" s="37">
        <f>($E$39*VLOOKUP('Workings surfaced'!A71,Objective_Metric!$F$3:$M$48,2,FALSE))+($E$40*VLOOKUP('Workings surfaced'!A71,Objective_Metric!$F$3:$M$48,3,FALSE))+($E$41*VLOOKUP('Workings surfaced'!A71,Objective_Metric!$F$3:$M$48,4,FALSE))+($E$42*VLOOKUP('Workings surfaced'!A71,Objective_Metric!$F$3:$M$48,5,FALSE))+($E$43*VLOOKUP('Workings surfaced'!A71,Objective_Metric!$F$3:$M$48,6,FALSE))+($E$44*VLOOKUP('Workings surfaced'!A71,Objective_Metric!$F$3:$M$48,7,FALSE))</f>
        <v>5.6666666666666661</v>
      </c>
      <c r="C71" s="38">
        <f t="shared" si="0"/>
        <v>31.481481481481477</v>
      </c>
    </row>
    <row r="72" spans="1:4">
      <c r="A72" s="36" t="s">
        <v>72</v>
      </c>
      <c r="B72" s="37">
        <f>($E$39*VLOOKUP('Workings surfaced'!A72,Objective_Metric!$F$3:$M$48,2,FALSE))+($E$40*VLOOKUP('Workings surfaced'!A72,Objective_Metric!$F$3:$M$48,3,FALSE))+($E$41*VLOOKUP('Workings surfaced'!A72,Objective_Metric!$F$3:$M$48,4,FALSE))+($E$42*VLOOKUP('Workings surfaced'!A72,Objective_Metric!$F$3:$M$48,5,FALSE))+($E$43*VLOOKUP('Workings surfaced'!A72,Objective_Metric!$F$3:$M$48,6,FALSE))+($E$44*VLOOKUP('Workings surfaced'!A72,Objective_Metric!$F$3:$M$48,7,FALSE))</f>
        <v>2.666666666666667</v>
      </c>
      <c r="C72" s="38">
        <f t="shared" si="0"/>
        <v>14.814814814814817</v>
      </c>
    </row>
    <row r="73" spans="1:4">
      <c r="A73" s="36" t="s">
        <v>73</v>
      </c>
      <c r="B73" s="37">
        <f>($E$39*VLOOKUP('Workings surfaced'!A73,Objective_Metric!$F$3:$M$48,2,FALSE))+($E$40*VLOOKUP('Workings surfaced'!A73,Objective_Metric!$F$3:$M$48,3,FALSE))+($E$41*VLOOKUP('Workings surfaced'!A73,Objective_Metric!$F$3:$M$48,4,FALSE))+($E$42*VLOOKUP('Workings surfaced'!A73,Objective_Metric!$F$3:$M$48,5,FALSE))+($E$43*VLOOKUP('Workings surfaced'!A73,Objective_Metric!$F$3:$M$48,6,FALSE))+($E$44*VLOOKUP('Workings surfaced'!A73,Objective_Metric!$F$3:$M$48,7,FALSE))</f>
        <v>4.6666666666666661</v>
      </c>
      <c r="C73" s="38">
        <f t="shared" si="0"/>
        <v>25.925925925925924</v>
      </c>
    </row>
    <row r="74" spans="1:4">
      <c r="A74" s="36" t="s">
        <v>74</v>
      </c>
      <c r="B74" s="37">
        <f>($E$39*VLOOKUP('Workings surfaced'!A74,Objective_Metric!$F$3:$M$48,2,FALSE))+($E$40*VLOOKUP('Workings surfaced'!A74,Objective_Metric!$F$3:$M$48,3,FALSE))+($E$41*VLOOKUP('Workings surfaced'!A74,Objective_Metric!$F$3:$M$48,4,FALSE))+($E$42*VLOOKUP('Workings surfaced'!A74,Objective_Metric!$F$3:$M$48,5,FALSE))+($E$43*VLOOKUP('Workings surfaced'!A74,Objective_Metric!$F$3:$M$48,6,FALSE))+($E$44*VLOOKUP('Workings surfaced'!A74,Objective_Metric!$F$3:$M$48,7,FALSE))</f>
        <v>7.6666666666666661</v>
      </c>
      <c r="C74" s="38">
        <f t="shared" si="0"/>
        <v>42.592592592592588</v>
      </c>
    </row>
    <row r="75" spans="1:4">
      <c r="A75" s="36" t="s">
        <v>75</v>
      </c>
      <c r="B75" s="37">
        <f>($E$39*VLOOKUP('Workings surfaced'!A75,Objective_Metric!$F$3:$M$48,2,FALSE))+($E$40*VLOOKUP('Workings surfaced'!A75,Objective_Metric!$F$3:$M$48,3,FALSE))+($E$41*VLOOKUP('Workings surfaced'!A75,Objective_Metric!$F$3:$M$48,4,FALSE))+($E$42*VLOOKUP('Workings surfaced'!A75,Objective_Metric!$F$3:$M$48,5,FALSE))+($E$43*VLOOKUP('Workings surfaced'!A75,Objective_Metric!$F$3:$M$48,6,FALSE))+($E$44*VLOOKUP('Workings surfaced'!A75,Objective_Metric!$F$3:$M$48,7,FALSE))</f>
        <v>6</v>
      </c>
      <c r="C75" s="38">
        <f t="shared" si="0"/>
        <v>33.333333333333329</v>
      </c>
    </row>
    <row r="76" spans="1:4">
      <c r="A76" s="36" t="s">
        <v>76</v>
      </c>
      <c r="B76" s="37">
        <f>($E$39*VLOOKUP('Workings surfaced'!A76,Objective_Metric!$F$3:$M$48,2,FALSE))+($E$40*VLOOKUP('Workings surfaced'!A76,Objective_Metric!$F$3:$M$48,3,FALSE))+($E$41*VLOOKUP('Workings surfaced'!A76,Objective_Metric!$F$3:$M$48,4,FALSE))+($E$42*VLOOKUP('Workings surfaced'!A76,Objective_Metric!$F$3:$M$48,5,FALSE))+($E$43*VLOOKUP('Workings surfaced'!A76,Objective_Metric!$F$3:$M$48,6,FALSE))+($E$44*VLOOKUP('Workings surfaced'!A76,Objective_Metric!$F$3:$M$48,7,FALSE))</f>
        <v>6.3333333333333339</v>
      </c>
      <c r="C76" s="38">
        <f t="shared" si="0"/>
        <v>35.185185185185183</v>
      </c>
    </row>
    <row r="77" spans="1:4">
      <c r="A77" s="36" t="s">
        <v>77</v>
      </c>
      <c r="B77" s="37">
        <f>($E$39*VLOOKUP('Workings surfaced'!A77,Objective_Metric!$F$3:$M$48,2,FALSE))+($E$40*VLOOKUP('Workings surfaced'!A77,Objective_Metric!$F$3:$M$48,3,FALSE))+($E$41*VLOOKUP('Workings surfaced'!A77,Objective_Metric!$F$3:$M$48,4,FALSE))+($E$42*VLOOKUP('Workings surfaced'!A77,Objective_Metric!$F$3:$M$48,5,FALSE))+($E$43*VLOOKUP('Workings surfaced'!A77,Objective_Metric!$F$3:$M$48,6,FALSE))+($E$44*VLOOKUP('Workings surfaced'!A77,Objective_Metric!$F$3:$M$48,7,FALSE))</f>
        <v>4</v>
      </c>
      <c r="C77" s="38">
        <f t="shared" si="0"/>
        <v>22.222222222222221</v>
      </c>
    </row>
    <row r="78" spans="1:4">
      <c r="A78" s="15"/>
      <c r="B78" s="15"/>
      <c r="C78" s="15"/>
      <c r="D78" s="15"/>
    </row>
    <row r="79" spans="1:4">
      <c r="A79" s="35" t="s">
        <v>78</v>
      </c>
      <c r="B79" s="35" t="s">
        <v>18</v>
      </c>
      <c r="C79" s="35" t="s">
        <v>19</v>
      </c>
      <c r="D79" s="19"/>
    </row>
    <row r="80" spans="1:4">
      <c r="A80" s="36" t="s">
        <v>79</v>
      </c>
      <c r="B80" s="37">
        <f>($E$39*VLOOKUP('Workings surfaced'!A80,Objective_Metric!$F$3:$M$48,2,FALSE))+($E$40*VLOOKUP('Workings surfaced'!A80,Objective_Metric!$F$3:$M$48,3,FALSE))+($E$41*VLOOKUP('Workings surfaced'!A80,Objective_Metric!$F$3:$M$48,4,FALSE))+($E$42*VLOOKUP('Workings surfaced'!A80,Objective_Metric!$F$3:$M$48,5,FALSE))+($E$43*VLOOKUP('Workings surfaced'!A80,Objective_Metric!$F$3:$M$48,6,FALSE))+($E$44*VLOOKUP('Workings surfaced'!A80,Objective_Metric!$F$3:$M$48,7,FALSE))</f>
        <v>7.6666666666666661</v>
      </c>
      <c r="C80" s="38">
        <f>(B80/$G$45)*100</f>
        <v>42.592592592592588</v>
      </c>
      <c r="D80" s="19"/>
    </row>
    <row r="81" spans="1:12">
      <c r="A81" s="36" t="s">
        <v>80</v>
      </c>
      <c r="B81" s="37">
        <f>($E$39*VLOOKUP('Workings surfaced'!A81,Objective_Metric!$F$3:$M$48,2,FALSE))+($E$40*VLOOKUP('Workings surfaced'!A81,Objective_Metric!$F$3:$M$48,3,FALSE))+($E$41*VLOOKUP('Workings surfaced'!A81,Objective_Metric!$F$3:$M$48,4,FALSE))+($E$42*VLOOKUP('Workings surfaced'!A81,Objective_Metric!$F$3:$M$48,5,FALSE))+($E$43*VLOOKUP('Workings surfaced'!A81,Objective_Metric!$F$3:$M$48,6,FALSE))+($E$44*VLOOKUP('Workings surfaced'!A81,Objective_Metric!$F$3:$M$48,7,FALSE))</f>
        <v>8</v>
      </c>
      <c r="C81" s="38">
        <f t="shared" ref="C81:C90" si="1">(B81/$G$45)*100</f>
        <v>44.444444444444443</v>
      </c>
    </row>
    <row r="82" spans="1:12">
      <c r="A82" s="36" t="s">
        <v>81</v>
      </c>
      <c r="B82" s="37">
        <f>($E$39*VLOOKUP('Workings surfaced'!A82,Objective_Metric!$F$3:$M$48,2,FALSE))+($E$40*VLOOKUP('Workings surfaced'!A82,Objective_Metric!$F$3:$M$48,3,FALSE))+($E$41*VLOOKUP('Workings surfaced'!A82,Objective_Metric!$F$3:$M$48,4,FALSE))+($E$42*VLOOKUP('Workings surfaced'!A82,Objective_Metric!$F$3:$M$48,5,FALSE))+($E$43*VLOOKUP('Workings surfaced'!A82,Objective_Metric!$F$3:$M$48,6,FALSE))+($E$44*VLOOKUP('Workings surfaced'!A82,Objective_Metric!$F$3:$M$48,7,FALSE))</f>
        <v>4.666666666666667</v>
      </c>
      <c r="C82" s="38">
        <f t="shared" si="1"/>
        <v>25.925925925925931</v>
      </c>
    </row>
    <row r="83" spans="1:12">
      <c r="A83" s="36" t="s">
        <v>82</v>
      </c>
      <c r="B83" s="37">
        <f>($E$39*VLOOKUP('Workings surfaced'!A83,Objective_Metric!$F$3:$M$48,2,FALSE))+($E$40*VLOOKUP('Workings surfaced'!A83,Objective_Metric!$F$3:$M$48,3,FALSE))+($E$41*VLOOKUP('Workings surfaced'!A83,Objective_Metric!$F$3:$M$48,4,FALSE))+($E$42*VLOOKUP('Workings surfaced'!A83,Objective_Metric!$F$3:$M$48,5,FALSE))+($E$43*VLOOKUP('Workings surfaced'!A83,Objective_Metric!$F$3:$M$48,6,FALSE))+($E$44*VLOOKUP('Workings surfaced'!A83,Objective_Metric!$F$3:$M$48,7,FALSE))</f>
        <v>0</v>
      </c>
      <c r="C83" s="38">
        <f t="shared" si="1"/>
        <v>0</v>
      </c>
    </row>
    <row r="84" spans="1:12">
      <c r="A84" s="36" t="s">
        <v>83</v>
      </c>
      <c r="B84" s="37">
        <f>($E$39*VLOOKUP('Workings surfaced'!A84,Objective_Metric!$F$3:$M$48,2,FALSE))+($E$40*VLOOKUP('Workings surfaced'!A84,Objective_Metric!$F$3:$M$48,3,FALSE))+($E$41*VLOOKUP('Workings surfaced'!A84,Objective_Metric!$F$3:$M$48,4,FALSE))+($E$42*VLOOKUP('Workings surfaced'!A84,Objective_Metric!$F$3:$M$48,5,FALSE))+($E$43*VLOOKUP('Workings surfaced'!A84,Objective_Metric!$F$3:$M$48,6,FALSE))+($E$44*VLOOKUP('Workings surfaced'!A84,Objective_Metric!$F$3:$M$48,7,FALSE))</f>
        <v>3</v>
      </c>
      <c r="C84" s="38">
        <f t="shared" si="1"/>
        <v>16.666666666666664</v>
      </c>
    </row>
    <row r="85" spans="1:12">
      <c r="A85" s="36" t="s">
        <v>84</v>
      </c>
      <c r="B85" s="37">
        <f>($E$39*VLOOKUP('Workings surfaced'!A85,Objective_Metric!$F$3:$M$48,2,FALSE))+($E$40*VLOOKUP('Workings surfaced'!A85,Objective_Metric!$F$3:$M$48,3,FALSE))+($E$41*VLOOKUP('Workings surfaced'!A85,Objective_Metric!$F$3:$M$48,4,FALSE))+($E$42*VLOOKUP('Workings surfaced'!A85,Objective_Metric!$F$3:$M$48,5,FALSE))+($E$43*VLOOKUP('Workings surfaced'!A85,Objective_Metric!$F$3:$M$48,6,FALSE))+($E$44*VLOOKUP('Workings surfaced'!A85,Objective_Metric!$F$3:$M$48,7,FALSE))</f>
        <v>1</v>
      </c>
      <c r="C85" s="38">
        <f t="shared" si="1"/>
        <v>5.5555555555555554</v>
      </c>
    </row>
    <row r="86" spans="1:12">
      <c r="A86" s="36" t="s">
        <v>85</v>
      </c>
      <c r="B86" s="37">
        <f>($E$39*VLOOKUP('Workings surfaced'!A86,Objective_Metric!$F$3:$M$48,2,FALSE))+($E$40*VLOOKUP('Workings surfaced'!A86,Objective_Metric!$F$3:$M$48,3,FALSE))+($E$41*VLOOKUP('Workings surfaced'!A86,Objective_Metric!$F$3:$M$48,4,FALSE))+($E$42*VLOOKUP('Workings surfaced'!A86,Objective_Metric!$F$3:$M$48,5,FALSE))+($E$43*VLOOKUP('Workings surfaced'!A86,Objective_Metric!$F$3:$M$48,6,FALSE))+($E$44*VLOOKUP('Workings surfaced'!A86,Objective_Metric!$F$3:$M$48,7,FALSE))</f>
        <v>11.333333333333334</v>
      </c>
      <c r="C86" s="38">
        <f t="shared" si="1"/>
        <v>62.962962962962962</v>
      </c>
    </row>
    <row r="87" spans="1:12">
      <c r="A87" s="36" t="s">
        <v>86</v>
      </c>
      <c r="B87" s="37">
        <f>($E$39*VLOOKUP('Workings surfaced'!A87,Objective_Metric!$F$3:$M$48,2,FALSE))+($E$40*VLOOKUP('Workings surfaced'!A87,Objective_Metric!$F$3:$M$48,3,FALSE))+($E$41*VLOOKUP('Workings surfaced'!A87,Objective_Metric!$F$3:$M$48,4,FALSE))+($E$42*VLOOKUP('Workings surfaced'!A87,Objective_Metric!$F$3:$M$48,5,FALSE))+($E$43*VLOOKUP('Workings surfaced'!A87,Objective_Metric!$F$3:$M$48,6,FALSE))+($E$44*VLOOKUP('Workings surfaced'!A87,Objective_Metric!$F$3:$M$48,7,FALSE))</f>
        <v>12</v>
      </c>
      <c r="C87" s="38">
        <f t="shared" si="1"/>
        <v>66.666666666666657</v>
      </c>
    </row>
    <row r="88" spans="1:12">
      <c r="A88" s="36" t="s">
        <v>87</v>
      </c>
      <c r="B88" s="37">
        <f>($E$39*VLOOKUP('Workings surfaced'!A88,Objective_Metric!$F$3:$M$48,2,FALSE))+($E$40*VLOOKUP('Workings surfaced'!A88,Objective_Metric!$F$3:$M$48,3,FALSE))+($E$41*VLOOKUP('Workings surfaced'!A88,Objective_Metric!$F$3:$M$48,4,FALSE))+($E$42*VLOOKUP('Workings surfaced'!A88,Objective_Metric!$F$3:$M$48,5,FALSE))+($E$43*VLOOKUP('Workings surfaced'!A88,Objective_Metric!$F$3:$M$48,6,FALSE))+($E$44*VLOOKUP('Workings surfaced'!A88,Objective_Metric!$F$3:$M$48,7,FALSE))</f>
        <v>5</v>
      </c>
      <c r="C88" s="38">
        <f t="shared" si="1"/>
        <v>27.777777777777779</v>
      </c>
    </row>
    <row r="89" spans="1:12">
      <c r="A89" s="36" t="s">
        <v>88</v>
      </c>
      <c r="B89" s="37">
        <f>($E$39*VLOOKUP('Workings surfaced'!A89,Objective_Metric!$F$3:$M$48,2,FALSE))+($E$40*VLOOKUP('Workings surfaced'!A89,Objective_Metric!$F$3:$M$48,3,FALSE))+($E$41*VLOOKUP('Workings surfaced'!A89,Objective_Metric!$F$3:$M$48,4,FALSE))+($E$42*VLOOKUP('Workings surfaced'!A89,Objective_Metric!$F$3:$M$48,5,FALSE))+($E$43*VLOOKUP('Workings surfaced'!A89,Objective_Metric!$F$3:$M$48,6,FALSE))+($E$44*VLOOKUP('Workings surfaced'!A89,Objective_Metric!$F$3:$M$48,7,FALSE))</f>
        <v>5.666666666666667</v>
      </c>
      <c r="C89" s="38">
        <f t="shared" si="1"/>
        <v>31.481481481481481</v>
      </c>
    </row>
    <row r="90" spans="1:12">
      <c r="A90" s="36" t="s">
        <v>89</v>
      </c>
      <c r="B90" s="37">
        <f>($E$39*VLOOKUP('Workings surfaced'!A90,Objective_Metric!$F$3:$M$48,2,FALSE))+($E$40*VLOOKUP('Workings surfaced'!A90,Objective_Metric!$F$3:$M$48,3,FALSE))+($E$41*VLOOKUP('Workings surfaced'!A90,Objective_Metric!$F$3:$M$48,4,FALSE))+($E$42*VLOOKUP('Workings surfaced'!A90,Objective_Metric!$F$3:$M$48,5,FALSE))+($E$43*VLOOKUP('Workings surfaced'!A90,Objective_Metric!$F$3:$M$48,6,FALSE))+($E$44*VLOOKUP('Workings surfaced'!A90,Objective_Metric!$F$3:$M$48,7,FALSE))</f>
        <v>0</v>
      </c>
      <c r="C90" s="38">
        <f t="shared" si="1"/>
        <v>0</v>
      </c>
    </row>
    <row r="92" spans="1:12">
      <c r="A92" s="25" t="s">
        <v>29</v>
      </c>
      <c r="B92" s="26"/>
      <c r="C92" s="15"/>
      <c r="D92" s="15"/>
      <c r="L92" s="15"/>
    </row>
    <row r="93" spans="1:12">
      <c r="A93" s="33" t="s">
        <v>30</v>
      </c>
      <c r="B93" s="31" t="s">
        <v>31</v>
      </c>
      <c r="C93" s="21" t="s">
        <v>18</v>
      </c>
      <c r="D93" s="21"/>
      <c r="E93" s="21"/>
      <c r="F93" s="21"/>
      <c r="G93" s="21"/>
      <c r="H93" s="21"/>
      <c r="I93" s="1"/>
      <c r="J93" s="1"/>
      <c r="K93" s="1"/>
    </row>
    <row r="94" spans="1:12">
      <c r="A94" s="34"/>
      <c r="B94" s="31"/>
      <c r="C94" s="27" t="s">
        <v>35</v>
      </c>
      <c r="D94" s="27" t="s">
        <v>37</v>
      </c>
      <c r="E94" s="27" t="s">
        <v>39</v>
      </c>
      <c r="F94" s="27" t="s">
        <v>41</v>
      </c>
      <c r="G94" s="27" t="s">
        <v>42</v>
      </c>
      <c r="H94" s="27" t="s">
        <v>43</v>
      </c>
      <c r="I94" s="1"/>
      <c r="J94" s="1"/>
      <c r="K94" s="1"/>
    </row>
    <row r="95" spans="1:12">
      <c r="A95" s="30" t="str">
        <f>INDEX($A$47:$A$77,MATCH(1,INDEX(($C$47:$C$77=LARGE($C$47:$C$77,ROWS(A94)))*(COUNTIF(A94,$A$47:$A$77)=0),),0))</f>
        <v xml:space="preserve">Instagram: Reach: Follower Growth </v>
      </c>
      <c r="B95" s="32">
        <f>VLOOKUP(A95,$A$47:$C$77,3,FALSE)</f>
        <v>64.81481481481481</v>
      </c>
      <c r="C95" s="29">
        <f>VLOOKUP($A95,Objective_Metric!$F$3:$M$48,2,FALSE)</f>
        <v>2.6666666666666665</v>
      </c>
      <c r="D95" s="29">
        <f>VLOOKUP($A95,Objective_Metric!$F$3:$M$48,3,FALSE)</f>
        <v>3</v>
      </c>
      <c r="E95" s="29">
        <f>VLOOKUP($A95,Objective_Metric!$F$3:$M$48,4,FALSE)</f>
        <v>1.3333333333333333</v>
      </c>
      <c r="F95" s="29">
        <f>VLOOKUP($A95,Objective_Metric!$F$3:$M$48,5,FALSE)</f>
        <v>0.33333333333333331</v>
      </c>
      <c r="G95" s="29">
        <f>VLOOKUP($A95,Objective_Metric!$F$3:$M$48,6,FALSE)</f>
        <v>0.66666666666666663</v>
      </c>
      <c r="H95" s="29">
        <f>VLOOKUP($A95,Objective_Metric!$F$3:$M$48,7,FALSE)</f>
        <v>0.33333333333333331</v>
      </c>
      <c r="I95" s="1"/>
      <c r="J95" s="1" t="s">
        <v>90</v>
      </c>
      <c r="K95" s="1"/>
    </row>
    <row r="96" spans="1:12">
      <c r="A96" s="30" t="str">
        <f>INDEX($A$47:$A$77,MATCH(1,INDEX(($C$47:$C$77=LARGE($C$47:$C$77,ROWS($A$94:$A95)))*(COUNTIF($A$94:$A95,$A$47:$A$77)=0),),0))</f>
        <v>YouTube: Reach: Channel subscriptions</v>
      </c>
      <c r="B96" s="32">
        <f>VLOOKUP(A96,$A$47:$C$77,3,FALSE)</f>
        <v>62.962962962962962</v>
      </c>
      <c r="C96" s="29">
        <f>VLOOKUP($A96,Objective_Metric!$F$3:$M$48,2,FALSE)</f>
        <v>2.3333333333333335</v>
      </c>
      <c r="D96" s="29">
        <f>VLOOKUP($A96,Objective_Metric!$F$3:$M$48,3,FALSE)</f>
        <v>3</v>
      </c>
      <c r="E96" s="29">
        <f>VLOOKUP($A96,Objective_Metric!$F$3:$M$48,4,FALSE)</f>
        <v>2</v>
      </c>
      <c r="F96" s="29">
        <f>VLOOKUP($A96,Objective_Metric!$F$3:$M$48,5,FALSE)</f>
        <v>0.66666666666666663</v>
      </c>
      <c r="G96" s="29">
        <f>VLOOKUP($A96,Objective_Metric!$F$3:$M$48,6,FALSE)</f>
        <v>0.66666666666666663</v>
      </c>
      <c r="H96" s="29">
        <f>VLOOKUP($A96,Objective_Metric!$F$3:$M$48,7,FALSE)</f>
        <v>0.66666666666666663</v>
      </c>
      <c r="I96" s="1"/>
      <c r="J96" s="1"/>
      <c r="K96" s="1"/>
    </row>
    <row r="97" spans="1:11">
      <c r="A97" s="30" t="str">
        <f>INDEX($A$47:$A$77,MATCH(1,INDEX(($C$47:$C$77=LARGE($C$47:$C$77,ROWS($A$94:$A96)))*(COUNTIF($A$94:$A96,$A$47:$A$77)=0),),0))</f>
        <v>Facebook: Conversion: Conversion rate from channel (GA Goals)</v>
      </c>
      <c r="B97" s="32">
        <f>VLOOKUP(A97,$A$47:$C$77,3,FALSE)</f>
        <v>55.555555555555557</v>
      </c>
      <c r="C97" s="29">
        <f>VLOOKUP($A97,Objective_Metric!$F$3:$M$48,2,FALSE)</f>
        <v>2</v>
      </c>
      <c r="D97" s="29">
        <f>VLOOKUP($A97,Objective_Metric!$F$3:$M$48,3,FALSE)</f>
        <v>2.6666666666666665</v>
      </c>
      <c r="E97" s="29">
        <f>VLOOKUP($A97,Objective_Metric!$F$3:$M$48,4,FALSE)</f>
        <v>1</v>
      </c>
      <c r="F97" s="29">
        <f>VLOOKUP($A97,Objective_Metric!$F$3:$M$48,5,FALSE)</f>
        <v>2.6666666666666665</v>
      </c>
      <c r="G97" s="29">
        <f>VLOOKUP($A97,Objective_Metric!$F$3:$M$48,6,FALSE)</f>
        <v>2.6666666666666665</v>
      </c>
      <c r="H97" s="29">
        <f>VLOOKUP($A97,Objective_Metric!$F$3:$M$48,7,FALSE)</f>
        <v>2.6666666666666665</v>
      </c>
      <c r="I97" s="1"/>
      <c r="J97" s="1"/>
      <c r="K97" s="1"/>
    </row>
    <row r="98" spans="1:11">
      <c r="A98" s="30" t="str">
        <f>INDEX($A$47:$A$77,MATCH(1,INDEX(($C$47:$C$77=LARGE($C$47:$C$77,ROWS($A$94:$A97)))*(COUNTIF($A$94:$A97,$A$47:$A$77)=0),),0))</f>
        <v>Facebook: Engagement: % traffic sent to website</v>
      </c>
      <c r="B98" s="32">
        <f>VLOOKUP(A98,$A$47:$C$77,3,FALSE)</f>
        <v>53.703703703703695</v>
      </c>
      <c r="C98" s="29">
        <f>VLOOKUP($A98,Objective_Metric!$F$3:$M$48,2,FALSE)</f>
        <v>2.6666666666666665</v>
      </c>
      <c r="D98" s="29">
        <f>VLOOKUP($A98,Objective_Metric!$F$3:$M$48,3,FALSE)</f>
        <v>2.3333333333333335</v>
      </c>
      <c r="E98" s="29">
        <f>VLOOKUP($A98,Objective_Metric!$F$3:$M$48,4,FALSE)</f>
        <v>1.3333333333333333</v>
      </c>
      <c r="F98" s="29">
        <f>VLOOKUP($A98,Objective_Metric!$F$3:$M$48,5,FALSE)</f>
        <v>2.6666666666666665</v>
      </c>
      <c r="G98" s="29">
        <f>VLOOKUP($A98,Objective_Metric!$F$3:$M$48,6,FALSE)</f>
        <v>2</v>
      </c>
      <c r="H98" s="29">
        <f>VLOOKUP($A98,Objective_Metric!$F$3:$M$48,7,FALSE)</f>
        <v>2</v>
      </c>
      <c r="I98" s="1"/>
      <c r="J98" s="1"/>
      <c r="K98" s="1"/>
    </row>
    <row r="99" spans="1:11">
      <c r="A99" s="30" t="str">
        <f>INDEX($A$47:$A$77,MATCH(1,INDEX(($C$47:$C$77=LARGE($C$47:$C$77,ROWS($A$94:$A98)))*(COUNTIF($A$94:$A98,$A$47:$A$77)=0),),0))</f>
        <v>Facebook: Reach: Growth of page likes</v>
      </c>
      <c r="B99" s="32">
        <f>VLOOKUP(A99,$A$47:$C$77,3,FALSE)</f>
        <v>51.851851851851862</v>
      </c>
      <c r="C99" s="29">
        <f>VLOOKUP($A99,Objective_Metric!$F$3:$M$48,2,FALSE)</f>
        <v>2.3333333333333335</v>
      </c>
      <c r="D99" s="29">
        <f>VLOOKUP($A99,Objective_Metric!$F$3:$M$48,3,FALSE)</f>
        <v>2.3333333333333335</v>
      </c>
      <c r="E99" s="29">
        <f>VLOOKUP($A99,Objective_Metric!$F$3:$M$48,4,FALSE)</f>
        <v>0.66666666666666663</v>
      </c>
      <c r="F99" s="29">
        <f>VLOOKUP($A99,Objective_Metric!$F$3:$M$48,5,FALSE)</f>
        <v>1</v>
      </c>
      <c r="G99" s="29">
        <f>VLOOKUP($A99,Objective_Metric!$F$3:$M$48,6,FALSE)</f>
        <v>0.66666666666666663</v>
      </c>
      <c r="H99" s="29">
        <f>VLOOKUP($A99,Objective_Metric!$F$3:$M$48,7,FALSE)</f>
        <v>0.33333333333333331</v>
      </c>
      <c r="I99" s="1"/>
      <c r="J99" s="1"/>
      <c r="K99" s="1"/>
    </row>
    <row r="100" spans="1:11">
      <c r="A100" s="30" t="str">
        <f>INDEX($A$47:$A$77,MATCH(1,INDEX(($C$47:$C$77=LARGE($C$47:$C$77,ROWS($A$94:$A99)))*(COUNTIF($A$94:$A99,$A$47:$A$77)=0),),0))</f>
        <v>Twitter: Reach: Follower Growth</v>
      </c>
      <c r="B100" s="32">
        <f t="shared" ref="B100:B125" si="2">VLOOKUP(A100,$A$47:$C$77,3,FALSE)</f>
        <v>51.851851851851862</v>
      </c>
      <c r="C100" s="29">
        <f>VLOOKUP($A100,Objective_Metric!$F$3:$M$48,2,FALSE)</f>
        <v>2.3333333333333335</v>
      </c>
      <c r="D100" s="29">
        <f>VLOOKUP($A100,Objective_Metric!$F$3:$M$48,3,FALSE)</f>
        <v>2.3333333333333335</v>
      </c>
      <c r="E100" s="29">
        <f>VLOOKUP($A100,Objective_Metric!$F$3:$M$48,4,FALSE)</f>
        <v>1</v>
      </c>
      <c r="F100" s="29">
        <f>VLOOKUP($A100,Objective_Metric!$F$3:$M$48,5,FALSE)</f>
        <v>0.66666666666666663</v>
      </c>
      <c r="G100" s="29">
        <f>VLOOKUP($A100,Objective_Metric!$F$3:$M$48,6,FALSE)</f>
        <v>0.66666666666666663</v>
      </c>
      <c r="H100" s="29">
        <f>VLOOKUP($A100,Objective_Metric!$F$3:$M$48,7,FALSE)</f>
        <v>0.66666666666666663</v>
      </c>
      <c r="I100" s="1"/>
      <c r="J100" s="1"/>
      <c r="K100" s="1"/>
    </row>
    <row r="101" spans="1:11">
      <c r="A101" s="30" t="str">
        <f>INDEX($A$47:$A$77,MATCH(1,INDEX(($C$47:$C$77=LARGE($C$47:$C$77,ROWS($A$94:$A100)))*(COUNTIF($A$94:$A100,$A$47:$A$77)=0),),0))</f>
        <v>Twitter: Engagement: % traffic sent to website</v>
      </c>
      <c r="B101" s="32">
        <f t="shared" si="2"/>
        <v>48.148148148148145</v>
      </c>
      <c r="C101" s="29">
        <f>VLOOKUP($A101,Objective_Metric!$F$3:$M$48,2,FALSE)</f>
        <v>2.6666666666666665</v>
      </c>
      <c r="D101" s="29">
        <f>VLOOKUP($A101,Objective_Metric!$F$3:$M$48,3,FALSE)</f>
        <v>2</v>
      </c>
      <c r="E101" s="29">
        <f>VLOOKUP($A101,Objective_Metric!$F$3:$M$48,4,FALSE)</f>
        <v>2</v>
      </c>
      <c r="F101" s="29">
        <f>VLOOKUP($A101,Objective_Metric!$F$3:$M$48,5,FALSE)</f>
        <v>2.6666666666666665</v>
      </c>
      <c r="G101" s="29">
        <f>VLOOKUP($A101,Objective_Metric!$F$3:$M$48,6,FALSE)</f>
        <v>2</v>
      </c>
      <c r="H101" s="29">
        <f>VLOOKUP($A101,Objective_Metric!$F$3:$M$48,7,FALSE)</f>
        <v>1.3333333333333333</v>
      </c>
      <c r="I101" s="1"/>
      <c r="J101" s="1"/>
      <c r="K101" s="1"/>
    </row>
    <row r="102" spans="1:11">
      <c r="A102" s="30" t="str">
        <f>INDEX($A$47:$A$77,MATCH(1,INDEX(($C$47:$C$77=LARGE($C$47:$C$77,ROWS($A$94:$A101)))*(COUNTIF($A$94:$A101,$A$47:$A$77)=0),),0))</f>
        <v>Facebook: Engagement: Engagement rate</v>
      </c>
      <c r="B102" s="32">
        <f t="shared" si="2"/>
        <v>44.444444444444443</v>
      </c>
      <c r="C102" s="29">
        <f>VLOOKUP($A102,Objective_Metric!$F$3:$M$48,2,FALSE)</f>
        <v>2</v>
      </c>
      <c r="D102" s="29">
        <f>VLOOKUP($A102,Objective_Metric!$F$3:$M$48,3,FALSE)</f>
        <v>2</v>
      </c>
      <c r="E102" s="29">
        <f>VLOOKUP($A102,Objective_Metric!$F$3:$M$48,4,FALSE)</f>
        <v>3</v>
      </c>
      <c r="F102" s="29">
        <f>VLOOKUP($A102,Objective_Metric!$F$3:$M$48,5,FALSE)</f>
        <v>2</v>
      </c>
      <c r="G102" s="29">
        <f>VLOOKUP($A102,Objective_Metric!$F$3:$M$48,6,FALSE)</f>
        <v>2</v>
      </c>
      <c r="H102" s="29">
        <f>VLOOKUP($A102,Objective_Metric!$F$3:$M$48,7,FALSE)</f>
        <v>1.3333333333333333</v>
      </c>
      <c r="I102" s="1"/>
      <c r="J102" s="1"/>
      <c r="K102" s="1"/>
    </row>
    <row r="103" spans="1:11">
      <c r="A103" s="30" t="str">
        <f>INDEX($A$47:$A$77,MATCH(1,INDEX(($C$47:$C$77=LARGE($C$47:$C$77,ROWS($A$94:$A102)))*(COUNTIF($A$94:$A102,$A$47:$A$77)=0),),0))</f>
        <v>Twitter: Engagement: Engagement rate</v>
      </c>
      <c r="B103" s="32">
        <f t="shared" si="2"/>
        <v>44.444444444444443</v>
      </c>
      <c r="C103" s="29">
        <f>VLOOKUP($A103,Objective_Metric!$F$3:$M$48,2,FALSE)</f>
        <v>2</v>
      </c>
      <c r="D103" s="29">
        <f>VLOOKUP($A103,Objective_Metric!$F$3:$M$48,3,FALSE)</f>
        <v>2</v>
      </c>
      <c r="E103" s="29">
        <f>VLOOKUP($A103,Objective_Metric!$F$3:$M$48,4,FALSE)</f>
        <v>3</v>
      </c>
      <c r="F103" s="29">
        <f>VLOOKUP($A103,Objective_Metric!$F$3:$M$48,5,FALSE)</f>
        <v>2</v>
      </c>
      <c r="G103" s="29">
        <f>VLOOKUP($A103,Objective_Metric!$F$3:$M$48,6,FALSE)</f>
        <v>2</v>
      </c>
      <c r="H103" s="29">
        <f>VLOOKUP($A103,Objective_Metric!$F$3:$M$48,7,FALSE)</f>
        <v>1</v>
      </c>
      <c r="I103" s="1"/>
      <c r="J103" s="1"/>
      <c r="K103" s="1"/>
    </row>
    <row r="104" spans="1:11">
      <c r="A104" s="30" t="str">
        <f>INDEX($A$47:$A$77,MATCH(1,INDEX(($C$47:$C$77=LARGE($C$47:$C$77,ROWS($A$94:$A103)))*(COUNTIF($A$94:$A103,$A$47:$A$77)=0),),0))</f>
        <v>Instagram: Engagement: Average post engagement</v>
      </c>
      <c r="B104" s="32">
        <f t="shared" si="2"/>
        <v>44.444444444444443</v>
      </c>
      <c r="C104" s="29">
        <f>VLOOKUP($A104,Objective_Metric!$F$3:$M$48,2,FALSE)</f>
        <v>2</v>
      </c>
      <c r="D104" s="29">
        <f>VLOOKUP($A104,Objective_Metric!$F$3:$M$48,3,FALSE)</f>
        <v>2</v>
      </c>
      <c r="E104" s="29">
        <f>VLOOKUP($A104,Objective_Metric!$F$3:$M$48,4,FALSE)</f>
        <v>3</v>
      </c>
      <c r="F104" s="29">
        <f>VLOOKUP($A104,Objective_Metric!$F$3:$M$48,5,FALSE)</f>
        <v>1</v>
      </c>
      <c r="G104" s="29">
        <f>VLOOKUP($A104,Objective_Metric!$F$3:$M$48,6,FALSE)</f>
        <v>1</v>
      </c>
      <c r="H104" s="29">
        <f>VLOOKUP($A104,Objective_Metric!$F$3:$M$48,7,FALSE)</f>
        <v>1.3333333333333333</v>
      </c>
      <c r="I104" s="1"/>
      <c r="J104" s="1"/>
      <c r="K104" s="1"/>
    </row>
    <row r="105" spans="1:11">
      <c r="A105" s="30" t="str">
        <f>INDEX($A$47:$A$77,MATCH(1,INDEX(($C$47:$C$77=LARGE($C$47:$C$77,ROWS($A$94:$A104)))*(COUNTIF($A$94:$A104,$A$47:$A$77)=0),),0))</f>
        <v>Twitter: Conversion: Conversion rate from channel (GA Goals)</v>
      </c>
      <c r="B105" s="32">
        <f t="shared" si="2"/>
        <v>42.592592592592595</v>
      </c>
      <c r="C105" s="29">
        <f>VLOOKUP($A105,Objective_Metric!$F$3:$M$48,2,FALSE)</f>
        <v>1.6666666666666667</v>
      </c>
      <c r="D105" s="29">
        <f>VLOOKUP($A105,Objective_Metric!$F$3:$M$48,3,FALSE)</f>
        <v>2</v>
      </c>
      <c r="E105" s="29">
        <f>VLOOKUP($A105,Objective_Metric!$F$3:$M$48,4,FALSE)</f>
        <v>1.6666666666666667</v>
      </c>
      <c r="F105" s="29">
        <f>VLOOKUP($A105,Objective_Metric!$F$3:$M$48,5,FALSE)</f>
        <v>2.6666666666666665</v>
      </c>
      <c r="G105" s="29">
        <f>VLOOKUP($A105,Objective_Metric!$F$3:$M$48,6,FALSE)</f>
        <v>3</v>
      </c>
      <c r="H105" s="29">
        <f>VLOOKUP($A105,Objective_Metric!$F$3:$M$48,7,FALSE)</f>
        <v>2.6666666666666665</v>
      </c>
      <c r="I105" s="1"/>
      <c r="J105" s="1"/>
      <c r="K105" s="1"/>
    </row>
    <row r="106" spans="1:11">
      <c r="A106" s="30" t="str">
        <f>INDEX($A$47:$A$77,MATCH(1,INDEX(($C$47:$C$77=LARGE($C$47:$C$77,ROWS($A$94:$A105)))*(COUNTIF($A$94:$A105,$A$47:$A$77)=0),),0))</f>
        <v xml:space="preserve">Instagram: Reach: Reach </v>
      </c>
      <c r="B106" s="32">
        <f t="shared" si="2"/>
        <v>42.592592592592588</v>
      </c>
      <c r="C106" s="29">
        <f>VLOOKUP($A106,Objective_Metric!$F$3:$M$48,2,FALSE)</f>
        <v>2.6666666666666665</v>
      </c>
      <c r="D106" s="29">
        <f>VLOOKUP($A106,Objective_Metric!$F$3:$M$48,3,FALSE)</f>
        <v>1.6666666666666667</v>
      </c>
      <c r="E106" s="29">
        <f>VLOOKUP($A106,Objective_Metric!$F$3:$M$48,4,FALSE)</f>
        <v>1</v>
      </c>
      <c r="F106" s="29">
        <f>VLOOKUP($A106,Objective_Metric!$F$3:$M$48,5,FALSE)</f>
        <v>0.33333333333333331</v>
      </c>
      <c r="G106" s="29">
        <f>VLOOKUP($A106,Objective_Metric!$F$3:$M$48,6,FALSE)</f>
        <v>0.33333333333333331</v>
      </c>
      <c r="H106" s="29">
        <f>VLOOKUP($A106,Objective_Metric!$F$3:$M$48,7,FALSE)</f>
        <v>0.33333333333333331</v>
      </c>
      <c r="I106" s="1"/>
      <c r="J106" s="1"/>
      <c r="K106" s="1"/>
    </row>
    <row r="107" spans="1:11">
      <c r="A107" s="30" t="str">
        <f>INDEX($A$47:$A$77,MATCH(1,INDEX(($C$47:$C$77=LARGE($C$47:$C$77,ROWS($A$94:$A106)))*(COUNTIF($A$94:$A106,$A$47:$A$77)=0),),0))</f>
        <v>Pinterest: Reach: Average monthly viewers</v>
      </c>
      <c r="B107" s="32">
        <f t="shared" si="2"/>
        <v>42.592592592592588</v>
      </c>
      <c r="C107" s="29">
        <f>VLOOKUP($A107,Objective_Metric!$F$3:$M$48,2,FALSE)</f>
        <v>2.6666666666666665</v>
      </c>
      <c r="D107" s="29">
        <f>VLOOKUP($A107,Objective_Metric!$F$3:$M$48,3,FALSE)</f>
        <v>1.6666666666666667</v>
      </c>
      <c r="E107" s="29">
        <f>VLOOKUP($A107,Objective_Metric!$F$3:$M$48,4,FALSE)</f>
        <v>1.3333333333333333</v>
      </c>
      <c r="F107" s="29">
        <f>VLOOKUP($A107,Objective_Metric!$F$3:$M$48,5,FALSE)</f>
        <v>0.33333333333333331</v>
      </c>
      <c r="G107" s="29">
        <f>VLOOKUP($A107,Objective_Metric!$F$3:$M$48,6,FALSE)</f>
        <v>0.33333333333333331</v>
      </c>
      <c r="H107" s="29">
        <f>VLOOKUP($A107,Objective_Metric!$F$3:$M$48,7,FALSE)</f>
        <v>0.33333333333333331</v>
      </c>
      <c r="I107" s="1"/>
      <c r="J107" s="1"/>
      <c r="K107" s="1"/>
    </row>
    <row r="108" spans="1:11">
      <c r="A108" s="30" t="str">
        <f>INDEX($A$47:$A$77,MATCH(1,INDEX(($C$47:$C$77=LARGE($C$47:$C$77,ROWS($A$94:$A107)))*(COUNTIF($A$94:$A107,$A$47:$A$77)=0),),0))</f>
        <v>YouTube: Engagement: Shares</v>
      </c>
      <c r="B108" s="32">
        <f t="shared" si="2"/>
        <v>40.740740740740748</v>
      </c>
      <c r="C108" s="29">
        <f>VLOOKUP($A108,Objective_Metric!$F$3:$M$48,2,FALSE)</f>
        <v>2.3333333333333335</v>
      </c>
      <c r="D108" s="29">
        <f>VLOOKUP($A108,Objective_Metric!$F$3:$M$48,3,FALSE)</f>
        <v>1.6666666666666667</v>
      </c>
      <c r="E108" s="29">
        <f>VLOOKUP($A108,Objective_Metric!$F$3:$M$48,4,FALSE)</f>
        <v>3</v>
      </c>
      <c r="F108" s="29">
        <f>VLOOKUP($A108,Objective_Metric!$F$3:$M$48,5,FALSE)</f>
        <v>1</v>
      </c>
      <c r="G108" s="29">
        <f>VLOOKUP($A108,Objective_Metric!$F$3:$M$48,6,FALSE)</f>
        <v>0.66666666666666663</v>
      </c>
      <c r="H108" s="29">
        <f>VLOOKUP($A108,Objective_Metric!$F$3:$M$48,7,FALSE)</f>
        <v>1</v>
      </c>
      <c r="I108" s="1"/>
      <c r="J108" s="1"/>
      <c r="K108" s="1"/>
    </row>
    <row r="109" spans="1:11">
      <c r="A109" s="30" t="str">
        <f>INDEX($A$47:$A$77,MATCH(1,INDEX(($C$47:$C$77=LARGE($C$47:$C$77,ROWS($A$94:$A108)))*(COUNTIF($A$94:$A108,$A$47:$A$77)=0),),0))</f>
        <v>YouTube: Engagement: Impressions click-through rate</v>
      </c>
      <c r="B109" s="32">
        <f t="shared" si="2"/>
        <v>40.740740740740748</v>
      </c>
      <c r="C109" s="29">
        <f>VLOOKUP($A109,Objective_Metric!$F$3:$M$48,2,FALSE)</f>
        <v>2.3333333333333335</v>
      </c>
      <c r="D109" s="29">
        <f>VLOOKUP($A109,Objective_Metric!$F$3:$M$48,3,FALSE)</f>
        <v>1.6666666666666667</v>
      </c>
      <c r="E109" s="29">
        <f>VLOOKUP($A109,Objective_Metric!$F$3:$M$48,4,FALSE)</f>
        <v>1.6666666666666667</v>
      </c>
      <c r="F109" s="29">
        <f>VLOOKUP($A109,Objective_Metric!$F$3:$M$48,5,FALSE)</f>
        <v>2</v>
      </c>
      <c r="G109" s="29">
        <f>VLOOKUP($A109,Objective_Metric!$F$3:$M$48,6,FALSE)</f>
        <v>1.6666666666666667</v>
      </c>
      <c r="H109" s="29">
        <f>VLOOKUP($A109,Objective_Metric!$F$3:$M$48,7,FALSE)</f>
        <v>1.6666666666666667</v>
      </c>
      <c r="I109" s="1"/>
      <c r="J109" s="1"/>
      <c r="K109" s="1"/>
    </row>
    <row r="110" spans="1:11">
      <c r="A110" s="30" t="str">
        <f>INDEX($A$47:$A$77,MATCH(1,INDEX(($C$47:$C$77=LARGE($C$47:$C$77,ROWS($A$94:$A109)))*(COUNTIF($A$94:$A109,$A$47:$A$77)=0),),0))</f>
        <v>Twitter: Engagement: RTs</v>
      </c>
      <c r="B110" s="32">
        <f t="shared" si="2"/>
        <v>38.888888888888893</v>
      </c>
      <c r="C110" s="29">
        <f>VLOOKUP($A110,Objective_Metric!$F$3:$M$48,2,FALSE)</f>
        <v>3</v>
      </c>
      <c r="D110" s="29">
        <f>VLOOKUP($A110,Objective_Metric!$F$3:$M$48,3,FALSE)</f>
        <v>1.3333333333333333</v>
      </c>
      <c r="E110" s="29">
        <f>VLOOKUP($A110,Objective_Metric!$F$3:$M$48,4,FALSE)</f>
        <v>3</v>
      </c>
      <c r="F110" s="29">
        <f>VLOOKUP($A110,Objective_Metric!$F$3:$M$48,5,FALSE)</f>
        <v>1</v>
      </c>
      <c r="G110" s="29">
        <f>VLOOKUP($A110,Objective_Metric!$F$3:$M$48,6,FALSE)</f>
        <v>0.66666666666666663</v>
      </c>
      <c r="H110" s="29">
        <f>VLOOKUP($A110,Objective_Metric!$F$3:$M$48,7,FALSE)</f>
        <v>1</v>
      </c>
      <c r="I110" s="1"/>
      <c r="J110" s="1"/>
      <c r="K110" s="1"/>
    </row>
    <row r="111" spans="1:11">
      <c r="A111" s="30" t="str">
        <f>INDEX($A$47:$A$77,MATCH(1,INDEX(($C$47:$C$77=LARGE($C$47:$C$77,ROWS($A$94:$A110)))*(COUNTIF($A$94:$A110,$A$47:$A$77)=0),),0))</f>
        <v xml:space="preserve">Facebook: Reach: Average post reach </v>
      </c>
      <c r="B111" s="32">
        <f t="shared" si="2"/>
        <v>37.037037037037038</v>
      </c>
      <c r="C111" s="29">
        <f>VLOOKUP($A111,Objective_Metric!$F$3:$M$48,2,FALSE)</f>
        <v>2.6666666666666665</v>
      </c>
      <c r="D111" s="29">
        <f>VLOOKUP($A111,Objective_Metric!$F$3:$M$48,3,FALSE)</f>
        <v>1.3333333333333333</v>
      </c>
      <c r="E111" s="29">
        <f>VLOOKUP($A111,Objective_Metric!$F$3:$M$48,4,FALSE)</f>
        <v>1.3333333333333333</v>
      </c>
      <c r="F111" s="29">
        <f>VLOOKUP($A111,Objective_Metric!$F$3:$M$48,5,FALSE)</f>
        <v>0.66666666666666663</v>
      </c>
      <c r="G111" s="29">
        <f>VLOOKUP($A111,Objective_Metric!$F$3:$M$48,6,FALSE)</f>
        <v>0.66666666666666663</v>
      </c>
      <c r="H111" s="29">
        <f>VLOOKUP($A111,Objective_Metric!$F$3:$M$48,7,FALSE)</f>
        <v>1</v>
      </c>
      <c r="I111" s="1"/>
      <c r="J111" s="1"/>
      <c r="K111" s="1"/>
    </row>
    <row r="112" spans="1:11">
      <c r="A112" s="30" t="str">
        <f>INDEX($A$47:$A$77,MATCH(1,INDEX(($C$47:$C$77=LARGE($C$47:$C$77,ROWS($A$94:$A111)))*(COUNTIF($A$94:$A111,$A$47:$A$77)=0),),0))</f>
        <v>Facebook: Engagement: Shares</v>
      </c>
      <c r="B112" s="32">
        <f t="shared" si="2"/>
        <v>37.037037037037038</v>
      </c>
      <c r="C112" s="29">
        <f>VLOOKUP($A112,Objective_Metric!$F$3:$M$48,2,FALSE)</f>
        <v>2.6666666666666665</v>
      </c>
      <c r="D112" s="29">
        <f>VLOOKUP($A112,Objective_Metric!$F$3:$M$48,3,FALSE)</f>
        <v>1.3333333333333333</v>
      </c>
      <c r="E112" s="29">
        <f>VLOOKUP($A112,Objective_Metric!$F$3:$M$48,4,FALSE)</f>
        <v>2.6666666666666665</v>
      </c>
      <c r="F112" s="29">
        <f>VLOOKUP($A112,Objective_Metric!$F$3:$M$48,5,FALSE)</f>
        <v>2</v>
      </c>
      <c r="G112" s="29">
        <f>VLOOKUP($A112,Objective_Metric!$F$3:$M$48,6,FALSE)</f>
        <v>1</v>
      </c>
      <c r="H112" s="29">
        <f>VLOOKUP($A112,Objective_Metric!$F$3:$M$48,7,FALSE)</f>
        <v>1.6666666666666667</v>
      </c>
      <c r="I112" s="1"/>
      <c r="J112" s="1"/>
      <c r="K112" s="1"/>
    </row>
    <row r="113" spans="1:11">
      <c r="A113" s="30" t="str">
        <f>INDEX($A$47:$A$77,MATCH(1,INDEX(($C$47:$C$77=LARGE($C$47:$C$77,ROWS($A$94:$A112)))*(COUNTIF($A$94:$A112,$A$47:$A$77)=0),),0))</f>
        <v>Facebook: Reach: Average organic reach</v>
      </c>
      <c r="B113" s="32">
        <f t="shared" si="2"/>
        <v>35.185185185185183</v>
      </c>
      <c r="C113" s="29">
        <f>VLOOKUP($A113,Objective_Metric!$F$3:$M$48,2,FALSE)</f>
        <v>2.3333333333333335</v>
      </c>
      <c r="D113" s="29">
        <f>VLOOKUP($A113,Objective_Metric!$F$3:$M$48,3,FALSE)</f>
        <v>1.3333333333333333</v>
      </c>
      <c r="E113" s="29">
        <f>VLOOKUP($A113,Objective_Metric!$F$3:$M$48,4,FALSE)</f>
        <v>1</v>
      </c>
      <c r="F113" s="29">
        <f>VLOOKUP($A113,Objective_Metric!$F$3:$M$48,5,FALSE)</f>
        <v>0.66666666666666663</v>
      </c>
      <c r="G113" s="29">
        <f>VLOOKUP($A113,Objective_Metric!$F$3:$M$48,6,FALSE)</f>
        <v>0.66666666666666663</v>
      </c>
      <c r="H113" s="29">
        <f>VLOOKUP($A113,Objective_Metric!$F$3:$M$48,7,FALSE)</f>
        <v>1</v>
      </c>
      <c r="I113" s="1"/>
      <c r="J113" s="1"/>
      <c r="K113" s="1"/>
    </row>
    <row r="114" spans="1:11">
      <c r="A114" s="30" t="str">
        <f>INDEX($A$47:$A$77,MATCH(1,INDEX(($C$47:$C$77=LARGE($C$47:$C$77,ROWS($A$94:$A113)))*(COUNTIF($A$94:$A113,$A$47:$A$77)=0),),0))</f>
        <v>Instagram: Engagement: Forwards of Stories</v>
      </c>
      <c r="B114" s="32">
        <f t="shared" si="2"/>
        <v>35.185185185185183</v>
      </c>
      <c r="C114" s="29">
        <f>VLOOKUP($A114,Objective_Metric!$F$3:$M$48,2,FALSE)</f>
        <v>2.3333333333333335</v>
      </c>
      <c r="D114" s="29">
        <f>VLOOKUP($A114,Objective_Metric!$F$3:$M$48,3,FALSE)</f>
        <v>1.3333333333333333</v>
      </c>
      <c r="E114" s="29">
        <f>VLOOKUP($A114,Objective_Metric!$F$3:$M$48,4,FALSE)</f>
        <v>2.6666666666666665</v>
      </c>
      <c r="F114" s="29">
        <f>VLOOKUP($A114,Objective_Metric!$F$3:$M$48,5,FALSE)</f>
        <v>1</v>
      </c>
      <c r="G114" s="29">
        <f>VLOOKUP($A114,Objective_Metric!$F$3:$M$48,6,FALSE)</f>
        <v>1</v>
      </c>
      <c r="H114" s="29">
        <f>VLOOKUP($A114,Objective_Metric!$F$3:$M$48,7,FALSE)</f>
        <v>1.3333333333333333</v>
      </c>
      <c r="I114" s="1"/>
      <c r="J114" s="1"/>
      <c r="K114" s="1"/>
    </row>
    <row r="115" spans="1:11">
      <c r="A115" s="30" t="str">
        <f>INDEX($A$47:$A$77,MATCH(1,INDEX(($C$47:$C$77=LARGE($C$47:$C$77,ROWS($A$94:$A114)))*(COUNTIF($A$94:$A114,$A$47:$A$77)=0),),0))</f>
        <v>Pinterest: Engagement: % traffic sent to website</v>
      </c>
      <c r="B115" s="32">
        <f t="shared" si="2"/>
        <v>35.185185185185183</v>
      </c>
      <c r="C115" s="29">
        <f>VLOOKUP($A115,Objective_Metric!$F$3:$M$48,2,FALSE)</f>
        <v>2.3333333333333335</v>
      </c>
      <c r="D115" s="29">
        <f>VLOOKUP($A115,Objective_Metric!$F$3:$M$48,3,FALSE)</f>
        <v>1.3333333333333333</v>
      </c>
      <c r="E115" s="29">
        <f>VLOOKUP($A115,Objective_Metric!$F$3:$M$48,4,FALSE)</f>
        <v>1.3333333333333333</v>
      </c>
      <c r="F115" s="29">
        <f>VLOOKUP($A115,Objective_Metric!$F$3:$M$48,5,FALSE)</f>
        <v>1.6666666666666667</v>
      </c>
      <c r="G115" s="29">
        <f>VLOOKUP($A115,Objective_Metric!$F$3:$M$48,6,FALSE)</f>
        <v>1.6666666666666667</v>
      </c>
      <c r="H115" s="29">
        <f>VLOOKUP($A115,Objective_Metric!$F$3:$M$48,7,FALSE)</f>
        <v>1.6666666666666667</v>
      </c>
      <c r="I115" s="1"/>
      <c r="J115" s="1"/>
      <c r="K115" s="1"/>
    </row>
    <row r="116" spans="1:11">
      <c r="A116" s="30" t="str">
        <f>INDEX($A$47:$A$77,MATCH(1,INDEX(($C$47:$C$77=LARGE($C$47:$C$77,ROWS($A$94:$A115)))*(COUNTIF($A$94:$A115,$A$47:$A$77)=0),),0))</f>
        <v>Pinterest: Engagement: Average monthly engaged</v>
      </c>
      <c r="B116" s="32">
        <f t="shared" si="2"/>
        <v>33.333333333333329</v>
      </c>
      <c r="C116" s="29">
        <f>VLOOKUP($A116,Objective_Metric!$F$3:$M$48,2,FALSE)</f>
        <v>2</v>
      </c>
      <c r="D116" s="29">
        <f>VLOOKUP($A116,Objective_Metric!$F$3:$M$48,3,FALSE)</f>
        <v>1.3333333333333333</v>
      </c>
      <c r="E116" s="29">
        <f>VLOOKUP($A116,Objective_Metric!$F$3:$M$48,4,FALSE)</f>
        <v>3</v>
      </c>
      <c r="F116" s="29">
        <f>VLOOKUP($A116,Objective_Metric!$F$3:$M$48,5,FALSE)</f>
        <v>0.66666666666666663</v>
      </c>
      <c r="G116" s="29">
        <f>VLOOKUP($A116,Objective_Metric!$F$3:$M$48,6,FALSE)</f>
        <v>0.66666666666666663</v>
      </c>
      <c r="H116" s="29">
        <f>VLOOKUP($A116,Objective_Metric!$F$3:$M$48,7,FALSE)</f>
        <v>0.66666666666666663</v>
      </c>
      <c r="I116" s="1"/>
      <c r="J116" s="1"/>
      <c r="K116" s="1"/>
    </row>
    <row r="117" spans="1:11">
      <c r="A117" s="30" t="str">
        <f>INDEX($A$47:$A$77,MATCH(1,INDEX(($C$47:$C$77=LARGE($C$47:$C$77,ROWS($A$94:$A116)))*(COUNTIF($A$94:$A116,$A$47:$A$77)=0),),0))</f>
        <v>Twitter: Reach: Impressions</v>
      </c>
      <c r="B117" s="32">
        <f t="shared" si="2"/>
        <v>31.481481481481481</v>
      </c>
      <c r="C117" s="29">
        <f>VLOOKUP($A117,Objective_Metric!$F$3:$M$48,2,FALSE)</f>
        <v>1.6666666666666667</v>
      </c>
      <c r="D117" s="29">
        <f>VLOOKUP($A117,Objective_Metric!$F$3:$M$48,3,FALSE)</f>
        <v>1.3333333333333333</v>
      </c>
      <c r="E117" s="29">
        <f>VLOOKUP($A117,Objective_Metric!$F$3:$M$48,4,FALSE)</f>
        <v>1</v>
      </c>
      <c r="F117" s="29">
        <f>VLOOKUP($A117,Objective_Metric!$F$3:$M$48,5,FALSE)</f>
        <v>0.33333333333333331</v>
      </c>
      <c r="G117" s="29">
        <f>VLOOKUP($A117,Objective_Metric!$F$3:$M$48,6,FALSE)</f>
        <v>0.33333333333333331</v>
      </c>
      <c r="H117" s="29">
        <f>VLOOKUP($A117,Objective_Metric!$F$3:$M$48,7,FALSE)</f>
        <v>0.33333333333333331</v>
      </c>
      <c r="I117" s="1"/>
      <c r="J117" s="1"/>
      <c r="K117" s="1"/>
    </row>
    <row r="118" spans="1:11">
      <c r="A118" s="30" t="str">
        <f>INDEX($A$47:$A$77,MATCH(1,INDEX(($C$47:$C$77=LARGE($C$47:$C$77,ROWS($A$94:$A117)))*(COUNTIF($A$94:$A117,$A$47:$A$77)=0),),0))</f>
        <v>YouTube: Engagement: % traffic sent to website</v>
      </c>
      <c r="B118" s="32">
        <f t="shared" si="2"/>
        <v>31.481481481481477</v>
      </c>
      <c r="C118" s="29">
        <f>VLOOKUP($A118,Objective_Metric!$F$3:$M$48,2,FALSE)</f>
        <v>2.6666666666666665</v>
      </c>
      <c r="D118" s="29">
        <f>VLOOKUP($A118,Objective_Metric!$F$3:$M$48,3,FALSE)</f>
        <v>1</v>
      </c>
      <c r="E118" s="29">
        <f>VLOOKUP($A118,Objective_Metric!$F$3:$M$48,4,FALSE)</f>
        <v>1.3333333333333333</v>
      </c>
      <c r="F118" s="29">
        <f>VLOOKUP($A118,Objective_Metric!$F$3:$M$48,5,FALSE)</f>
        <v>2.6666666666666665</v>
      </c>
      <c r="G118" s="29">
        <f>VLOOKUP($A118,Objective_Metric!$F$3:$M$48,6,FALSE)</f>
        <v>2.6666666666666665</v>
      </c>
      <c r="H118" s="29">
        <f>VLOOKUP($A118,Objective_Metric!$F$3:$M$48,7,FALSE)</f>
        <v>1.6666666666666667</v>
      </c>
      <c r="I118" s="1"/>
      <c r="J118" s="1"/>
      <c r="K118" s="1"/>
    </row>
    <row r="119" spans="1:11">
      <c r="A119" s="30" t="str">
        <f>INDEX($A$47:$A$77,MATCH(1,INDEX(($C$47:$C$77=LARGE($C$47:$C$77,ROWS($A$94:$A118)))*(COUNTIF($A$94:$A118,$A$47:$A$77)=0),),0))</f>
        <v>Instagram: Conversion: Conversion rate from channel (GA Goals)</v>
      </c>
      <c r="B119" s="32">
        <f t="shared" si="2"/>
        <v>25.925925925925931</v>
      </c>
      <c r="C119" s="29">
        <f>VLOOKUP($A119,Objective_Metric!$F$3:$M$48,2,FALSE)</f>
        <v>1.6666666666666667</v>
      </c>
      <c r="D119" s="29">
        <f>VLOOKUP($A119,Objective_Metric!$F$3:$M$48,3,FALSE)</f>
        <v>1</v>
      </c>
      <c r="E119" s="29">
        <f>VLOOKUP($A119,Objective_Metric!$F$3:$M$48,4,FALSE)</f>
        <v>0.66666666666666663</v>
      </c>
      <c r="F119" s="29">
        <f>VLOOKUP($A119,Objective_Metric!$F$3:$M$48,5,FALSE)</f>
        <v>2</v>
      </c>
      <c r="G119" s="29">
        <f>VLOOKUP($A119,Objective_Metric!$F$3:$M$48,6,FALSE)</f>
        <v>2.6666666666666665</v>
      </c>
      <c r="H119" s="29">
        <f>VLOOKUP($A119,Objective_Metric!$F$3:$M$48,7,FALSE)</f>
        <v>2.6666666666666665</v>
      </c>
      <c r="I119" s="1"/>
      <c r="J119" s="1"/>
      <c r="K119" s="1"/>
    </row>
    <row r="120" spans="1:11">
      <c r="A120" s="30" t="str">
        <f>INDEX($A$47:$A$77,MATCH(1,INDEX(($C$47:$C$77=LARGE($C$47:$C$77,ROWS($A$94:$A119)))*(COUNTIF($A$94:$A119,$A$47:$A$77)=0),),0))</f>
        <v>YouTube: Reach: Overall views</v>
      </c>
      <c r="B120" s="32">
        <f t="shared" si="2"/>
        <v>25.925925925925924</v>
      </c>
      <c r="C120" s="29">
        <f>VLOOKUP($A120,Objective_Metric!$F$3:$M$48,2,FALSE)</f>
        <v>2.6666666666666665</v>
      </c>
      <c r="D120" s="29">
        <f>VLOOKUP($A120,Objective_Metric!$F$3:$M$48,3,FALSE)</f>
        <v>0.66666666666666663</v>
      </c>
      <c r="E120" s="29">
        <f>VLOOKUP($A120,Objective_Metric!$F$3:$M$48,4,FALSE)</f>
        <v>2.3333333333333335</v>
      </c>
      <c r="F120" s="29">
        <f>VLOOKUP($A120,Objective_Metric!$F$3:$M$48,5,FALSE)</f>
        <v>0.66666666666666663</v>
      </c>
      <c r="G120" s="29">
        <f>VLOOKUP($A120,Objective_Metric!$F$3:$M$48,6,FALSE)</f>
        <v>0.66666666666666663</v>
      </c>
      <c r="H120" s="29">
        <f>VLOOKUP($A120,Objective_Metric!$F$3:$M$48,7,FALSE)</f>
        <v>1</v>
      </c>
      <c r="I120" s="1"/>
      <c r="J120" s="1"/>
      <c r="K120" s="1"/>
    </row>
    <row r="121" spans="1:11">
      <c r="A121" s="30" t="str">
        <f>INDEX($A$47:$A$77,MATCH(1,INDEX(($C$47:$C$77=LARGE($C$47:$C$77,ROWS($A$94:$A120)))*(COUNTIF($A$94:$A120,$A$47:$A$77)=0),),0))</f>
        <v>Pinterest: Reach: Average daily impressions (pins from profile)</v>
      </c>
      <c r="B121" s="32">
        <f t="shared" si="2"/>
        <v>25.925925925925924</v>
      </c>
      <c r="C121" s="29">
        <f>VLOOKUP($A121,Objective_Metric!$F$3:$M$48,2,FALSE)</f>
        <v>2.6666666666666665</v>
      </c>
      <c r="D121" s="29">
        <f>VLOOKUP($A121,Objective_Metric!$F$3:$M$48,3,FALSE)</f>
        <v>0.66666666666666663</v>
      </c>
      <c r="E121" s="29">
        <f>VLOOKUP($A121,Objective_Metric!$F$3:$M$48,4,FALSE)</f>
        <v>1.3333333333333333</v>
      </c>
      <c r="F121" s="29">
        <f>VLOOKUP($A121,Objective_Metric!$F$3:$M$48,5,FALSE)</f>
        <v>0.33333333333333331</v>
      </c>
      <c r="G121" s="29">
        <f>VLOOKUP($A121,Objective_Metric!$F$3:$M$48,6,FALSE)</f>
        <v>0.33333333333333331</v>
      </c>
      <c r="H121" s="29">
        <f>VLOOKUP($A121,Objective_Metric!$F$3:$M$48,7,FALSE)</f>
        <v>0</v>
      </c>
      <c r="I121" s="1"/>
      <c r="J121" s="1"/>
      <c r="K121" s="1"/>
    </row>
    <row r="122" spans="1:11">
      <c r="A122" s="30" t="str">
        <f>INDEX($A$47:$A$77,MATCH(1,INDEX(($C$47:$C$77=LARGE($C$47:$C$77,ROWS($A$94:$A121)))*(COUNTIF($A$94:$A121,$A$47:$A$77)=0),),0))</f>
        <v>Pinterest: Conversion: Conversion rate from channel (GA goals)</v>
      </c>
      <c r="B122" s="32">
        <f t="shared" si="2"/>
        <v>22.222222222222221</v>
      </c>
      <c r="C122" s="29">
        <f>VLOOKUP($A122,Objective_Metric!$F$3:$M$48,2,FALSE)</f>
        <v>1</v>
      </c>
      <c r="D122" s="29">
        <f>VLOOKUP($A122,Objective_Metric!$F$3:$M$48,3,FALSE)</f>
        <v>1</v>
      </c>
      <c r="E122" s="29">
        <f>VLOOKUP($A122,Objective_Metric!$F$3:$M$48,4,FALSE)</f>
        <v>1</v>
      </c>
      <c r="F122" s="29">
        <f>VLOOKUP($A122,Objective_Metric!$F$3:$M$48,5,FALSE)</f>
        <v>2</v>
      </c>
      <c r="G122" s="29">
        <f>VLOOKUP($A122,Objective_Metric!$F$3:$M$48,6,FALSE)</f>
        <v>2.6666666666666665</v>
      </c>
      <c r="H122" s="29">
        <f>VLOOKUP($A122,Objective_Metric!$F$3:$M$48,7,FALSE)</f>
        <v>2.3333333333333335</v>
      </c>
      <c r="I122" s="1"/>
      <c r="J122" s="1"/>
      <c r="K122" s="1"/>
    </row>
    <row r="123" spans="1:11">
      <c r="A123" s="30" t="str">
        <f>INDEX($A$47:$A$77,MATCH(1,INDEX(($C$47:$C$77=LARGE($C$47:$C$77,ROWS($A$94:$A122)))*(COUNTIF($A$94:$A122,$A$47:$A$77)=0),),0))</f>
        <v>Instagram: Reach: Impressions</v>
      </c>
      <c r="B123" s="32">
        <f t="shared" si="2"/>
        <v>20.370370370370374</v>
      </c>
      <c r="C123" s="29">
        <f>VLOOKUP($A123,Objective_Metric!$F$3:$M$48,2,FALSE)</f>
        <v>1.6666666666666667</v>
      </c>
      <c r="D123" s="29">
        <f>VLOOKUP($A123,Objective_Metric!$F$3:$M$48,3,FALSE)</f>
        <v>0.66666666666666663</v>
      </c>
      <c r="E123" s="29">
        <f>VLOOKUP($A123,Objective_Metric!$F$3:$M$48,4,FALSE)</f>
        <v>1</v>
      </c>
      <c r="F123" s="29">
        <f>VLOOKUP($A123,Objective_Metric!$F$3:$M$48,5,FALSE)</f>
        <v>0.33333333333333331</v>
      </c>
      <c r="G123" s="29">
        <f>VLOOKUP($A123,Objective_Metric!$F$3:$M$48,6,FALSE)</f>
        <v>0.33333333333333331</v>
      </c>
      <c r="H123" s="29">
        <f>VLOOKUP($A123,Objective_Metric!$F$3:$M$48,7,FALSE)</f>
        <v>0</v>
      </c>
      <c r="I123" s="1"/>
      <c r="J123" s="1"/>
      <c r="K123" s="1"/>
    </row>
    <row r="124" spans="1:11">
      <c r="A124" s="30" t="str">
        <f>INDEX($A$47:$A$77,MATCH(1,INDEX(($C$47:$C$77=LARGE($C$47:$C$77,ROWS($A$94:$A123)))*(COUNTIF($A$94:$A123,$A$47:$A$77)=0),),0))</f>
        <v>YouTube: Engagement: Average view duration</v>
      </c>
      <c r="B124" s="32">
        <f t="shared" si="2"/>
        <v>16.666666666666664</v>
      </c>
      <c r="C124" s="29">
        <f>VLOOKUP($A124,Objective_Metric!$F$3:$M$48,2,FALSE)</f>
        <v>1</v>
      </c>
      <c r="D124" s="29">
        <f>VLOOKUP($A124,Objective_Metric!$F$3:$M$48,3,FALSE)</f>
        <v>0.66666666666666663</v>
      </c>
      <c r="E124" s="29">
        <f>VLOOKUP($A124,Objective_Metric!$F$3:$M$48,4,FALSE)</f>
        <v>3</v>
      </c>
      <c r="F124" s="29">
        <f>VLOOKUP($A124,Objective_Metric!$F$3:$M$48,5,FALSE)</f>
        <v>0.66666666666666663</v>
      </c>
      <c r="G124" s="29">
        <f>VLOOKUP($A124,Objective_Metric!$F$3:$M$48,6,FALSE)</f>
        <v>0.66666666666666663</v>
      </c>
      <c r="H124" s="29">
        <f>VLOOKUP($A124,Objective_Metric!$F$3:$M$48,7,FALSE)</f>
        <v>0.33333333333333331</v>
      </c>
      <c r="I124" s="1"/>
      <c r="J124" s="1"/>
      <c r="K124" s="1"/>
    </row>
    <row r="125" spans="1:11">
      <c r="A125" s="30" t="str">
        <f>INDEX($A$47:$A$77,MATCH(1,INDEX(($C$47:$C$77=LARGE($C$47:$C$77,ROWS($A$94:$A124)))*(COUNTIF($A$94:$A124,$A$47:$A$77)=0),),0))</f>
        <v>YouTube: Conversion: Conversion rate from channel (GA goals)</v>
      </c>
      <c r="B125" s="32">
        <f t="shared" si="2"/>
        <v>14.814814814814817</v>
      </c>
      <c r="C125" s="29">
        <f>VLOOKUP($A125,Objective_Metric!$F$3:$M$48,2,FALSE)</f>
        <v>1.6666666666666667</v>
      </c>
      <c r="D125" s="29">
        <f>VLOOKUP($A125,Objective_Metric!$F$3:$M$48,3,FALSE)</f>
        <v>0.33333333333333331</v>
      </c>
      <c r="E125" s="29">
        <f>VLOOKUP($A125,Objective_Metric!$F$3:$M$48,4,FALSE)</f>
        <v>1.3333333333333333</v>
      </c>
      <c r="F125" s="29">
        <f>VLOOKUP($A125,Objective_Metric!$F$3:$M$48,5,FALSE)</f>
        <v>2.6666666666666665</v>
      </c>
      <c r="G125" s="29">
        <f>VLOOKUP($A125,Objective_Metric!$F$3:$M$48,6,FALSE)</f>
        <v>3</v>
      </c>
      <c r="H125" s="29">
        <f>VLOOKUP($A125,Objective_Metric!$F$3:$M$48,7,FALSE)</f>
        <v>2.3333333333333335</v>
      </c>
      <c r="I125" s="1"/>
      <c r="J125" s="1"/>
      <c r="K125" s="1"/>
    </row>
    <row r="126" spans="1:11">
      <c r="A126" s="15"/>
      <c r="B126" s="15"/>
      <c r="C126" s="15"/>
      <c r="D126" s="15"/>
      <c r="I126" s="1"/>
      <c r="J126" s="1"/>
      <c r="K126" s="1"/>
    </row>
    <row r="127" spans="1:11">
      <c r="A127" s="33" t="s">
        <v>33</v>
      </c>
      <c r="B127" s="31" t="s">
        <v>31</v>
      </c>
      <c r="C127" s="21" t="s">
        <v>18</v>
      </c>
      <c r="D127" s="21"/>
      <c r="E127" s="21"/>
      <c r="F127" s="21"/>
      <c r="G127" s="21"/>
      <c r="H127" s="21"/>
      <c r="I127" s="1"/>
      <c r="J127" s="1"/>
      <c r="K127" s="1"/>
    </row>
    <row r="128" spans="1:11">
      <c r="A128" s="34"/>
      <c r="B128" s="31"/>
      <c r="C128" s="27" t="s">
        <v>4</v>
      </c>
      <c r="D128" s="27" t="s">
        <v>6</v>
      </c>
      <c r="E128" s="27" t="s">
        <v>7</v>
      </c>
      <c r="F128" s="27" t="s">
        <v>10</v>
      </c>
      <c r="G128" s="27" t="s">
        <v>11</v>
      </c>
      <c r="H128" s="27" t="s">
        <v>13</v>
      </c>
      <c r="I128" s="1"/>
      <c r="J128" s="1"/>
      <c r="K128" s="1"/>
    </row>
    <row r="129" spans="1:12">
      <c r="A129" s="30" t="str">
        <f>INDEX($A$80:$A$90,MATCH(1,INDEX(($C$80:$C$90=LARGE($C$80:$C$90,ROWS($A$128:$A128)))*(COUNTIF($A$128:$A128,$A$80:$A$90)=0),),0))</f>
        <v>Email: Reach: Subscriber growth rate</v>
      </c>
      <c r="B129" s="32">
        <f t="shared" ref="B129:B139" si="3">VLOOKUP(A129,$A$80:$C$90,3,FALSE)</f>
        <v>66.666666666666657</v>
      </c>
      <c r="C129" s="29">
        <f>VLOOKUP($A129,Objective_Metric!$F$3:$M$48,2,FALSE)</f>
        <v>3</v>
      </c>
      <c r="D129" s="29">
        <f>VLOOKUP($A129,Objective_Metric!$F$3:$M$48,3,FALSE)</f>
        <v>3</v>
      </c>
      <c r="E129" s="29">
        <f>VLOOKUP($A129,Objective_Metric!$F$3:$M$48,4,FALSE)</f>
        <v>2.3333333333333335</v>
      </c>
      <c r="F129" s="29">
        <f>VLOOKUP($A129,Objective_Metric!$F$3:$M$48,5,FALSE)</f>
        <v>1.3333333333333333</v>
      </c>
      <c r="G129" s="29">
        <f>VLOOKUP($A129,Objective_Metric!$F$3:$M$48,6,FALSE)</f>
        <v>1.3333333333333333</v>
      </c>
      <c r="H129" s="29">
        <f>VLOOKUP($A129,Objective_Metric!$F$3:$M$48,7,FALSE)</f>
        <v>1.3333333333333333</v>
      </c>
      <c r="I129" s="1"/>
      <c r="J129" s="1" t="s">
        <v>90</v>
      </c>
      <c r="K129" s="1"/>
    </row>
    <row r="130" spans="1:12">
      <c r="A130" s="30" t="str">
        <f>INDEX($A$80:$A$90,MATCH(1,INDEX(($C$80:$C$90=LARGE($C$80:$C$90,ROWS($A$128:$A129)))*(COUNTIF($A$128:$A129,$A$80:$A$90)=0),),0))</f>
        <v>Email: Reach: Subscriber total</v>
      </c>
      <c r="B130" s="32">
        <f t="shared" si="3"/>
        <v>62.962962962962962</v>
      </c>
      <c r="C130" s="29">
        <f>VLOOKUP($A130,Objective_Metric!$F$3:$M$48,2,FALSE)</f>
        <v>2.3333333333333335</v>
      </c>
      <c r="D130" s="29">
        <f>VLOOKUP($A130,Objective_Metric!$F$3:$M$48,3,FALSE)</f>
        <v>3</v>
      </c>
      <c r="E130" s="29">
        <f>VLOOKUP($A130,Objective_Metric!$F$3:$M$48,4,FALSE)</f>
        <v>2</v>
      </c>
      <c r="F130" s="29">
        <f>VLOOKUP($A130,Objective_Metric!$F$3:$M$48,5,FALSE)</f>
        <v>1.3333333333333333</v>
      </c>
      <c r="G130" s="29">
        <f>VLOOKUP($A130,Objective_Metric!$F$3:$M$48,6,FALSE)</f>
        <v>1.3333333333333333</v>
      </c>
      <c r="H130" s="29">
        <f>VLOOKUP($A130,Objective_Metric!$F$3:$M$48,7,FALSE)</f>
        <v>1.3333333333333333</v>
      </c>
      <c r="I130" s="1"/>
      <c r="J130" s="1"/>
      <c r="K130" s="1"/>
    </row>
    <row r="131" spans="1:12">
      <c r="A131" s="30" t="str">
        <f>INDEX($A$80:$A$90,MATCH(1,INDEX(($C$80:$C$90=LARGE($C$80:$C$90,ROWS($A$128:$A130)))*(COUNTIF($A$128:$A130,$A$80:$A$90)=0),),0))</f>
        <v>Website: Reach: Users</v>
      </c>
      <c r="B131" s="32">
        <f t="shared" si="3"/>
        <v>44.444444444444443</v>
      </c>
      <c r="C131" s="29">
        <f>VLOOKUP($A131,Objective_Metric!$F$3:$M$48,2,FALSE)</f>
        <v>3</v>
      </c>
      <c r="D131" s="29">
        <f>VLOOKUP($A131,Objective_Metric!$F$3:$M$48,3,FALSE)</f>
        <v>1.6666666666666667</v>
      </c>
      <c r="E131" s="29">
        <f>VLOOKUP($A131,Objective_Metric!$F$3:$M$48,4,FALSE)</f>
        <v>1</v>
      </c>
      <c r="F131" s="29">
        <f>VLOOKUP($A131,Objective_Metric!$F$3:$M$48,5,FALSE)</f>
        <v>2</v>
      </c>
      <c r="G131" s="29">
        <f>VLOOKUP($A131,Objective_Metric!$F$3:$M$48,6,FALSE)</f>
        <v>1.6666666666666667</v>
      </c>
      <c r="H131" s="29">
        <f>VLOOKUP($A131,Objective_Metric!$F$3:$M$48,7,FALSE)</f>
        <v>1.3333333333333333</v>
      </c>
      <c r="I131" s="1"/>
      <c r="J131" s="1"/>
      <c r="K131" s="1"/>
    </row>
    <row r="132" spans="1:12">
      <c r="A132" s="30" t="str">
        <f>INDEX($A$80:$A$90,MATCH(1,INDEX(($C$80:$C$90=LARGE($C$80:$C$90,ROWS($A$128:$A131)))*(COUNTIF($A$128:$A131,$A$80:$A$90)=0),),0))</f>
        <v>Website: Reach: Sessions</v>
      </c>
      <c r="B132" s="32">
        <f t="shared" si="3"/>
        <v>42.592592592592588</v>
      </c>
      <c r="C132" s="29">
        <f>VLOOKUP($A132,Objective_Metric!$F$3:$M$48,2,FALSE)</f>
        <v>2.6666666666666665</v>
      </c>
      <c r="D132" s="29">
        <f>VLOOKUP($A132,Objective_Metric!$F$3:$M$48,3,FALSE)</f>
        <v>1.6666666666666667</v>
      </c>
      <c r="E132" s="29">
        <f>VLOOKUP($A132,Objective_Metric!$F$3:$M$48,4,FALSE)</f>
        <v>1.3333333333333333</v>
      </c>
      <c r="F132" s="29">
        <f>VLOOKUP($A132,Objective_Metric!$F$3:$M$48,5,FALSE)</f>
        <v>2</v>
      </c>
      <c r="G132" s="29">
        <f>VLOOKUP($A132,Objective_Metric!$F$3:$M$48,6,FALSE)</f>
        <v>1.6666666666666667</v>
      </c>
      <c r="H132" s="29">
        <f>VLOOKUP($A132,Objective_Metric!$F$3:$M$48,7,FALSE)</f>
        <v>1.3333333333333333</v>
      </c>
      <c r="I132" s="1"/>
      <c r="J132" s="1"/>
      <c r="K132" s="1"/>
    </row>
    <row r="133" spans="1:12">
      <c r="A133" s="30" t="str">
        <f>INDEX($A$80:$A$90,MATCH(1,INDEX(($C$80:$C$90=LARGE($C$80:$C$90,ROWS($A$128:$A132)))*(COUNTIF($A$128:$A132,$A$80:$A$90)=0),),0))</f>
        <v>Email: Engagement: Click through rate</v>
      </c>
      <c r="B133" s="32">
        <f t="shared" si="3"/>
        <v>31.481481481481481</v>
      </c>
      <c r="C133" s="29">
        <f>VLOOKUP($A133,Objective_Metric!$F$3:$M$48,2,FALSE)</f>
        <v>0.66666666666666663</v>
      </c>
      <c r="D133" s="29">
        <f>VLOOKUP($A133,Objective_Metric!$F$3:$M$48,3,FALSE)</f>
        <v>1.6666666666666667</v>
      </c>
      <c r="E133" s="29">
        <f>VLOOKUP($A133,Objective_Metric!$F$3:$M$48,4,FALSE)</f>
        <v>3</v>
      </c>
      <c r="F133" s="29">
        <f>VLOOKUP($A133,Objective_Metric!$F$3:$M$48,5,FALSE)</f>
        <v>2.6666666666666665</v>
      </c>
      <c r="G133" s="29">
        <f>VLOOKUP($A133,Objective_Metric!$F$3:$M$48,6,FALSE)</f>
        <v>1.6666666666666667</v>
      </c>
      <c r="H133" s="29">
        <f>VLOOKUP($A133,Objective_Metric!$F$3:$M$48,7,FALSE)</f>
        <v>1.6666666666666667</v>
      </c>
      <c r="I133" s="1"/>
      <c r="J133" s="1"/>
      <c r="K133" s="1"/>
    </row>
    <row r="134" spans="1:12">
      <c r="A134" s="30" t="str">
        <f>INDEX($A$80:$A$90,MATCH(1,INDEX(($C$80:$C$90=LARGE($C$80:$C$90,ROWS($A$128:$A133)))*(COUNTIF($A$128:$A133,$A$80:$A$90)=0),),0))</f>
        <v>Email: Engagement: Open rate</v>
      </c>
      <c r="B134" s="32">
        <f t="shared" si="3"/>
        <v>27.777777777777779</v>
      </c>
      <c r="C134" s="29">
        <f>VLOOKUP($A134,Objective_Metric!$F$3:$M$48,2,FALSE)</f>
        <v>1</v>
      </c>
      <c r="D134" s="29">
        <f>VLOOKUP($A134,Objective_Metric!$F$3:$M$48,3,FALSE)</f>
        <v>1.3333333333333333</v>
      </c>
      <c r="E134" s="29">
        <f>VLOOKUP($A134,Objective_Metric!$F$3:$M$48,4,FALSE)</f>
        <v>3</v>
      </c>
      <c r="F134" s="29">
        <f>VLOOKUP($A134,Objective_Metric!$F$3:$M$48,5,FALSE)</f>
        <v>1.3333333333333333</v>
      </c>
      <c r="G134" s="29">
        <f>VLOOKUP($A134,Objective_Metric!$F$3:$M$48,6,FALSE)</f>
        <v>1.3333333333333333</v>
      </c>
      <c r="H134" s="29">
        <f>VLOOKUP($A134,Objective_Metric!$F$3:$M$48,7,FALSE)</f>
        <v>1.3333333333333333</v>
      </c>
      <c r="I134" s="1"/>
      <c r="J134" s="1"/>
      <c r="K134" s="1"/>
    </row>
    <row r="135" spans="1:12">
      <c r="A135" s="30" t="str">
        <f>INDEX($A$80:$A$90,MATCH(1,INDEX(($C$80:$C$90=LARGE($C$80:$C$90,ROWS($A$128:$A134)))*(COUNTIF($A$128:$A134,$A$80:$A$90)=0),),0))</f>
        <v>Website: Engagement: Time spent by site section</v>
      </c>
      <c r="B135" s="32">
        <f t="shared" si="3"/>
        <v>25.925925925925931</v>
      </c>
      <c r="C135" s="29">
        <f>VLOOKUP($A135,Objective_Metric!$F$3:$M$48,2,FALSE)</f>
        <v>0.66666666666666663</v>
      </c>
      <c r="D135" s="29">
        <f>VLOOKUP($A135,Objective_Metric!$F$3:$M$48,3,FALSE)</f>
        <v>1.3333333333333333</v>
      </c>
      <c r="E135" s="29">
        <f>VLOOKUP($A135,Objective_Metric!$F$3:$M$48,4,FALSE)</f>
        <v>3</v>
      </c>
      <c r="F135" s="29">
        <f>VLOOKUP($A135,Objective_Metric!$F$3:$M$48,5,FALSE)</f>
        <v>1.6666666666666667</v>
      </c>
      <c r="G135" s="29">
        <f>VLOOKUP($A135,Objective_Metric!$F$3:$M$48,6,FALSE)</f>
        <v>1.3333333333333333</v>
      </c>
      <c r="H135" s="29">
        <f>VLOOKUP($A135,Objective_Metric!$F$3:$M$48,7,FALSE)</f>
        <v>1.3333333333333333</v>
      </c>
      <c r="I135" s="1"/>
      <c r="J135" s="1"/>
      <c r="K135" s="1"/>
    </row>
    <row r="136" spans="1:12">
      <c r="A136" s="30" t="str">
        <f>INDEX($A$80:$A$90,MATCH(1,INDEX(($C$80:$C$90=LARGE($C$80:$C$90,ROWS($A$128:$A135)))*(COUNTIF($A$128:$A135,$A$80:$A$90)=0),),0))</f>
        <v>Website: Conversion: Goal completion</v>
      </c>
      <c r="B136" s="32">
        <f t="shared" si="3"/>
        <v>16.666666666666664</v>
      </c>
      <c r="C136" s="29">
        <f>VLOOKUP($A136,Objective_Metric!$F$3:$M$48,2,FALSE)</f>
        <v>0</v>
      </c>
      <c r="D136" s="29">
        <f>VLOOKUP($A136,Objective_Metric!$F$3:$M$48,3,FALSE)</f>
        <v>1</v>
      </c>
      <c r="E136" s="29">
        <f>VLOOKUP($A136,Objective_Metric!$F$3:$M$48,4,FALSE)</f>
        <v>2.6666666666666665</v>
      </c>
      <c r="F136" s="29">
        <f>VLOOKUP($A136,Objective_Metric!$F$3:$M$48,5,FALSE)</f>
        <v>2.6666666666666665</v>
      </c>
      <c r="G136" s="29">
        <f>VLOOKUP($A136,Objective_Metric!$F$3:$M$48,6,FALSE)</f>
        <v>3</v>
      </c>
      <c r="H136" s="29">
        <f>VLOOKUP($A136,Objective_Metric!$F$3:$M$48,7,FALSE)</f>
        <v>3</v>
      </c>
      <c r="I136" s="1"/>
      <c r="J136" s="1"/>
      <c r="K136" s="1"/>
    </row>
    <row r="137" spans="1:12">
      <c r="A137" s="30" t="str">
        <f>INDEX($A$80:$A$90,MATCH(1,INDEX(($C$80:$C$90=LARGE($C$80:$C$90,ROWS($A$128:$A136)))*(COUNTIF($A$128:$A136,$A$80:$A$90)=0),),0))</f>
        <v>Website: Conversion: Value of ticket sales</v>
      </c>
      <c r="B137" s="32">
        <f t="shared" si="3"/>
        <v>5.5555555555555554</v>
      </c>
      <c r="C137" s="29">
        <f>VLOOKUP($A137,Objective_Metric!$F$3:$M$48,2,FALSE)</f>
        <v>0</v>
      </c>
      <c r="D137" s="29">
        <f>VLOOKUP($A137,Objective_Metric!$F$3:$M$48,3,FALSE)</f>
        <v>0.33333333333333331</v>
      </c>
      <c r="E137" s="29">
        <f>VLOOKUP($A137,Objective_Metric!$F$3:$M$48,4,FALSE)</f>
        <v>0</v>
      </c>
      <c r="F137" s="29">
        <f>VLOOKUP($A137,Objective_Metric!$F$3:$M$48,5,FALSE)</f>
        <v>2.6666666666666665</v>
      </c>
      <c r="G137" s="29">
        <f>VLOOKUP($A137,Objective_Metric!$F$3:$M$48,6,FALSE)</f>
        <v>3</v>
      </c>
      <c r="H137" s="29">
        <f>VLOOKUP($A137,Objective_Metric!$F$3:$M$48,7,FALSE)</f>
        <v>0.66666666666666663</v>
      </c>
      <c r="I137" s="1"/>
      <c r="J137" s="1"/>
      <c r="K137" s="1"/>
    </row>
    <row r="138" spans="1:12">
      <c r="A138" s="30" t="str">
        <f>INDEX($A$80:$A$90,MATCH(1,INDEX(($C$80:$C$90=LARGE($C$80:$C$90,ROWS($A$128:$A137)))*(COUNTIF($A$128:$A137,$A$80:$A$90)=0),),0))</f>
        <v>Website: Conversion: Conversion rate by channel</v>
      </c>
      <c r="B138" s="32">
        <f t="shared" si="3"/>
        <v>0</v>
      </c>
      <c r="C138" s="29">
        <f>VLOOKUP($A138,Objective_Metric!$F$3:$M$48,2,FALSE)</f>
        <v>0</v>
      </c>
      <c r="D138" s="29">
        <f>VLOOKUP($A138,Objective_Metric!$F$3:$M$48,3,FALSE)</f>
        <v>0</v>
      </c>
      <c r="E138" s="29">
        <f>VLOOKUP($A138,Objective_Metric!$F$3:$M$48,4,FALSE)</f>
        <v>2</v>
      </c>
      <c r="F138" s="29">
        <f>VLOOKUP($A138,Objective_Metric!$F$3:$M$48,5,FALSE)</f>
        <v>2.3333333333333335</v>
      </c>
      <c r="G138" s="29">
        <f>VLOOKUP($A138,Objective_Metric!$F$3:$M$48,6,FALSE)</f>
        <v>2.6666666666666665</v>
      </c>
      <c r="H138" s="29">
        <f>VLOOKUP($A138,Objective_Metric!$F$3:$M$48,7,FALSE)</f>
        <v>2.3333333333333335</v>
      </c>
      <c r="I138" s="1"/>
      <c r="J138" s="1"/>
      <c r="K138" s="1"/>
    </row>
    <row r="139" spans="1:12">
      <c r="A139" s="30" t="str">
        <f>INDEX($A$80:$A$90,MATCH(1,INDEX(($C$80:$C$90=LARGE($C$80:$C$90,ROWS($A$128:$A138)))*(COUNTIF($A$128:$A138,$A$80:$A$90)=0),),0))</f>
        <v>Email: Conversion: Conversion rate from channel (GA Goals)</v>
      </c>
      <c r="B139" s="32">
        <f t="shared" si="3"/>
        <v>0</v>
      </c>
      <c r="C139" s="29">
        <f>VLOOKUP($A139,Objective_Metric!$F$3:$M$48,2,FALSE)</f>
        <v>0</v>
      </c>
      <c r="D139" s="29">
        <f>VLOOKUP($A139,Objective_Metric!$F$3:$M$48,3,FALSE)</f>
        <v>0</v>
      </c>
      <c r="E139" s="29">
        <f>VLOOKUP($A139,Objective_Metric!$F$3:$M$48,4,FALSE)</f>
        <v>2.3333333333333335</v>
      </c>
      <c r="F139" s="29">
        <f>VLOOKUP($A139,Objective_Metric!$F$3:$M$48,5,FALSE)</f>
        <v>3</v>
      </c>
      <c r="G139" s="29">
        <f>VLOOKUP($A139,Objective_Metric!$F$3:$M$48,6,FALSE)</f>
        <v>2.6666666666666665</v>
      </c>
      <c r="H139" s="29">
        <f>VLOOKUP($A139,Objective_Metric!$F$3:$M$48,7,FALSE)</f>
        <v>2.6666666666666665</v>
      </c>
      <c r="I139" s="1"/>
      <c r="J139" s="1"/>
      <c r="K139" s="1"/>
    </row>
    <row r="140" spans="1:12">
      <c r="I140" s="1"/>
      <c r="J140" s="1"/>
      <c r="K140" s="1"/>
    </row>
    <row r="141" spans="1:12">
      <c r="A141" s="39"/>
      <c r="B141" s="39"/>
      <c r="C141" s="39"/>
      <c r="D141" s="39"/>
      <c r="E141" s="40"/>
      <c r="F141" s="40"/>
      <c r="G141" s="40"/>
      <c r="H141" s="40"/>
      <c r="I141" s="40"/>
      <c r="J141" s="40"/>
      <c r="K141" s="40"/>
      <c r="L141" s="39"/>
    </row>
    <row r="142" spans="1:12">
      <c r="I142" s="1"/>
      <c r="J142" s="1"/>
      <c r="K142" s="1"/>
    </row>
    <row r="143" spans="1:12">
      <c r="I143" s="1"/>
      <c r="J143" s="1"/>
      <c r="K143" s="1"/>
    </row>
    <row r="144" spans="1:12">
      <c r="I144" s="1"/>
      <c r="J144" s="1"/>
      <c r="K144" s="1"/>
    </row>
    <row r="145" spans="9:11">
      <c r="I145" s="1"/>
      <c r="J145" s="1"/>
      <c r="K145" s="1"/>
    </row>
    <row r="146" spans="9:11">
      <c r="I146" s="1"/>
      <c r="J146" s="1"/>
      <c r="K146" s="1"/>
    </row>
    <row r="147" spans="9:11">
      <c r="I147" s="1"/>
      <c r="J147" s="1"/>
      <c r="K147" s="1"/>
    </row>
    <row r="148" spans="9:11">
      <c r="I148" s="1"/>
      <c r="J148" s="1"/>
      <c r="K148" s="1"/>
    </row>
    <row r="149" spans="9:11">
      <c r="I149" s="1"/>
      <c r="J149" s="1"/>
      <c r="K149" s="1"/>
    </row>
    <row r="150" spans="9:11">
      <c r="I150" s="1"/>
      <c r="J150" s="1"/>
      <c r="K150" s="1"/>
    </row>
    <row r="151" spans="9:11">
      <c r="I151" s="1"/>
      <c r="J151" s="1"/>
      <c r="K151" s="1"/>
    </row>
    <row r="152" spans="9:11">
      <c r="I152" s="1"/>
      <c r="J152" s="1"/>
      <c r="K152" s="1"/>
    </row>
    <row r="153" spans="9:11">
      <c r="I153" s="1"/>
      <c r="J153" s="1"/>
      <c r="K153" s="1"/>
    </row>
    <row r="154" spans="9:11">
      <c r="I154" s="1"/>
      <c r="J154" s="1"/>
      <c r="K154" s="1"/>
    </row>
    <row r="155" spans="9:11">
      <c r="I155" s="1"/>
      <c r="J155" s="1"/>
      <c r="K155" s="1"/>
    </row>
    <row r="156" spans="9:11">
      <c r="I156" s="1"/>
      <c r="J156" s="1"/>
      <c r="K156" s="1"/>
    </row>
    <row r="157" spans="9:11">
      <c r="I157" s="1"/>
      <c r="J157" s="1"/>
      <c r="K157" s="1"/>
    </row>
    <row r="158" spans="9:11">
      <c r="I158" s="1"/>
      <c r="J158" s="1"/>
      <c r="K158" s="1"/>
    </row>
    <row r="159" spans="9:11">
      <c r="I159" s="1"/>
      <c r="J159" s="1"/>
      <c r="K159" s="1"/>
    </row>
    <row r="160" spans="9:11">
      <c r="I160" s="1"/>
      <c r="J160" s="1"/>
      <c r="K160" s="1"/>
    </row>
    <row r="161" spans="9:11">
      <c r="I161" s="1"/>
      <c r="J161" s="1"/>
      <c r="K161" s="1"/>
    </row>
    <row r="162" spans="9:11">
      <c r="I162" s="1"/>
      <c r="J162" s="1"/>
      <c r="K162" s="1"/>
    </row>
    <row r="163" spans="9:11">
      <c r="I163" s="1"/>
      <c r="J163" s="1"/>
      <c r="K163" s="1"/>
    </row>
    <row r="164" spans="9:11">
      <c r="I164" s="1"/>
      <c r="J164" s="1"/>
      <c r="K164" s="1"/>
    </row>
    <row r="165" spans="9:11">
      <c r="I165" s="1"/>
      <c r="J165" s="1"/>
      <c r="K165" s="1"/>
    </row>
    <row r="166" spans="9:11">
      <c r="I166" s="1"/>
      <c r="J166" s="1"/>
      <c r="K166" s="1"/>
    </row>
    <row r="167" spans="9:11">
      <c r="I167" s="1"/>
      <c r="J167" s="1"/>
      <c r="K167" s="1"/>
    </row>
    <row r="168" spans="9:11">
      <c r="I168" s="1"/>
      <c r="J168" s="1"/>
      <c r="K168" s="1"/>
    </row>
    <row r="169" spans="9:11">
      <c r="I169" s="1"/>
      <c r="J169" s="1"/>
      <c r="K169" s="1"/>
    </row>
    <row r="170" spans="9:11">
      <c r="I170" s="1"/>
      <c r="J170" s="1"/>
      <c r="K170" s="1"/>
    </row>
    <row r="171" spans="9:11">
      <c r="I171" s="1"/>
      <c r="J171" s="1"/>
      <c r="K171" s="1"/>
    </row>
    <row r="172" spans="9:11">
      <c r="I172" s="1"/>
      <c r="J172" s="1"/>
      <c r="K172" s="1"/>
    </row>
    <row r="173" spans="9:11">
      <c r="I173" s="1"/>
      <c r="J173" s="1"/>
      <c r="K173" s="1"/>
    </row>
    <row r="174" spans="9:11">
      <c r="I174" s="1"/>
      <c r="J174" s="1"/>
      <c r="K174" s="1"/>
    </row>
    <row r="175" spans="9:11">
      <c r="I175" s="1"/>
      <c r="J175" s="1"/>
      <c r="K175" s="1"/>
    </row>
    <row r="176" spans="9:11">
      <c r="I176" s="1"/>
      <c r="J176" s="1"/>
      <c r="K176" s="1"/>
    </row>
    <row r="177" spans="9:11">
      <c r="I177" s="1"/>
      <c r="J177" s="1"/>
      <c r="K177" s="1"/>
    </row>
    <row r="178" spans="9:11">
      <c r="I178" s="1"/>
      <c r="J178" s="1"/>
      <c r="K178" s="1"/>
    </row>
    <row r="179" spans="9:11">
      <c r="I179" s="1"/>
      <c r="J179" s="1"/>
      <c r="K179" s="1"/>
    </row>
    <row r="180" spans="9:11">
      <c r="I180" s="1"/>
      <c r="J180" s="1"/>
      <c r="K180" s="1"/>
    </row>
    <row r="181" spans="9:11">
      <c r="I181" s="1"/>
      <c r="J181" s="1"/>
      <c r="K181" s="1"/>
    </row>
    <row r="182" spans="9:11">
      <c r="I182" s="1"/>
      <c r="J182" s="1"/>
      <c r="K182" s="1"/>
    </row>
    <row r="183" spans="9:11">
      <c r="I183" s="1"/>
      <c r="J183" s="1"/>
      <c r="K183" s="1"/>
    </row>
    <row r="184" spans="9:11">
      <c r="I184" s="1"/>
      <c r="J184" s="1"/>
      <c r="K184" s="1"/>
    </row>
    <row r="185" spans="9:11">
      <c r="I185" s="1"/>
      <c r="J185" s="1"/>
      <c r="K185" s="1"/>
    </row>
    <row r="186" spans="9:11">
      <c r="I186" s="1"/>
      <c r="J186" s="1"/>
      <c r="K186" s="1"/>
    </row>
    <row r="187" spans="9:11">
      <c r="I187" s="1"/>
      <c r="J187" s="1"/>
      <c r="K187" s="1"/>
    </row>
  </sheetData>
  <mergeCells count="14">
    <mergeCell ref="A8:B8"/>
    <mergeCell ref="A9:B9"/>
    <mergeCell ref="A2:B2"/>
    <mergeCell ref="A3:B3"/>
    <mergeCell ref="A4:B4"/>
    <mergeCell ref="A5:B5"/>
    <mergeCell ref="A6:B6"/>
    <mergeCell ref="A7:B7"/>
    <mergeCell ref="A44:B44"/>
    <mergeCell ref="A39:B39"/>
    <mergeCell ref="A40:B40"/>
    <mergeCell ref="A41:B41"/>
    <mergeCell ref="A42:B42"/>
    <mergeCell ref="A43:B43"/>
  </mergeCells>
  <conditionalFormatting sqref="C2:C9">
    <cfRule type="containsBlanks" dxfId="1" priority="8">
      <formula>LEN(TRIM(C2))=0</formula>
    </cfRule>
  </conditionalFormatting>
  <conditionalFormatting sqref="C39:C44">
    <cfRule type="containsBlanks" dxfId="0" priority="1">
      <formula>LEN(TRIM(C39))=0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A91BB55-8A69-4C6B-B658-BE8F02B53B2E}">
          <x14:formula1>
            <xm:f>Lists!$A$2:$A$5</xm:f>
          </x14:formula1>
          <xm:sqref>C2:C9</xm:sqref>
        </x14:dataValidation>
        <x14:dataValidation type="list" allowBlank="1" showInputMessage="1" showErrorMessage="1" xr:uid="{637DE513-8751-4B00-A5A5-CE1C402DBE55}">
          <x14:formula1>
            <xm:f>Lists!$D$2:$D$5</xm:f>
          </x14:formula1>
          <xm:sqref>C39:C44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8F5B5-39E9-4FB3-A44A-798FC2833ECF}">
  <dimension ref="A1:E5"/>
  <sheetViews>
    <sheetView workbookViewId="0"/>
  </sheetViews>
  <sheetFormatPr defaultRowHeight="14.5"/>
  <cols>
    <col min="1" max="1" width="30.5" bestFit="1" customWidth="1"/>
    <col min="2" max="2" width="6" bestFit="1" customWidth="1"/>
    <col min="3" max="3" width="30.5" customWidth="1"/>
    <col min="4" max="4" width="25.33203125" bestFit="1" customWidth="1"/>
    <col min="5" max="5" width="6" bestFit="1" customWidth="1"/>
  </cols>
  <sheetData>
    <row r="1" spans="1:5">
      <c r="A1" s="13" t="s">
        <v>142</v>
      </c>
      <c r="B1" s="13" t="s">
        <v>18</v>
      </c>
      <c r="C1" s="13"/>
      <c r="D1" s="13" t="s">
        <v>143</v>
      </c>
      <c r="E1" s="13" t="s">
        <v>18</v>
      </c>
    </row>
    <row r="2" spans="1:5">
      <c r="A2" t="s">
        <v>5</v>
      </c>
      <c r="B2">
        <v>0</v>
      </c>
      <c r="D2" t="s">
        <v>40</v>
      </c>
      <c r="E2">
        <v>0</v>
      </c>
    </row>
    <row r="3" spans="1:5">
      <c r="A3" t="s">
        <v>144</v>
      </c>
      <c r="B3">
        <v>1</v>
      </c>
      <c r="D3" t="s">
        <v>36</v>
      </c>
      <c r="E3">
        <v>1</v>
      </c>
    </row>
    <row r="4" spans="1:5">
      <c r="A4" t="s">
        <v>8</v>
      </c>
      <c r="B4">
        <v>2</v>
      </c>
      <c r="D4" t="s">
        <v>145</v>
      </c>
      <c r="E4">
        <v>2</v>
      </c>
    </row>
    <row r="5" spans="1:5">
      <c r="A5" t="s">
        <v>12</v>
      </c>
      <c r="B5">
        <v>3</v>
      </c>
      <c r="D5" t="s">
        <v>38</v>
      </c>
      <c r="E5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zoomScale="110" zoomScaleNormal="110" workbookViewId="0">
      <selection activeCell="B3" sqref="B3"/>
    </sheetView>
  </sheetViews>
  <sheetFormatPr defaultColWidth="9" defaultRowHeight="13.5"/>
  <cols>
    <col min="1" max="1" width="6.83203125" style="1" bestFit="1" customWidth="1"/>
    <col min="2" max="2" width="40" style="1" customWidth="1"/>
    <col min="3" max="16384" width="9" style="1"/>
  </cols>
  <sheetData>
    <row r="1" spans="1:13">
      <c r="A1" s="11" t="s">
        <v>146</v>
      </c>
      <c r="B1" s="12"/>
      <c r="C1" s="4" t="s">
        <v>147</v>
      </c>
      <c r="D1" s="5"/>
      <c r="E1" s="5"/>
      <c r="F1" s="5"/>
      <c r="G1" s="5"/>
      <c r="H1" s="5"/>
      <c r="I1" s="5"/>
      <c r="J1" s="42"/>
    </row>
    <row r="2" spans="1:13">
      <c r="A2" s="12" t="s">
        <v>148</v>
      </c>
      <c r="B2" s="12" t="s">
        <v>149</v>
      </c>
      <c r="C2" s="5" t="s">
        <v>21</v>
      </c>
      <c r="D2" s="5" t="s">
        <v>24</v>
      </c>
      <c r="E2" s="5" t="s">
        <v>22</v>
      </c>
      <c r="F2" s="5" t="s">
        <v>23</v>
      </c>
      <c r="G2" s="5" t="s">
        <v>25</v>
      </c>
      <c r="H2" s="5" t="s">
        <v>27</v>
      </c>
      <c r="I2" s="5" t="s">
        <v>28</v>
      </c>
      <c r="J2" s="42"/>
    </row>
    <row r="3" spans="1:13">
      <c r="A3" s="1" t="s">
        <v>150</v>
      </c>
      <c r="B3" s="2" t="s">
        <v>4</v>
      </c>
      <c r="C3" s="24">
        <v>3</v>
      </c>
      <c r="D3" s="24">
        <v>2.75</v>
      </c>
      <c r="E3" s="24">
        <v>2.75</v>
      </c>
      <c r="F3" s="24">
        <v>2.25</v>
      </c>
      <c r="G3" s="24">
        <v>2.25</v>
      </c>
      <c r="H3" s="24">
        <v>2.5</v>
      </c>
      <c r="I3" s="24">
        <v>1.75</v>
      </c>
      <c r="J3" s="24"/>
      <c r="L3" s="5" t="s">
        <v>21</v>
      </c>
      <c r="M3" s="1">
        <v>2</v>
      </c>
    </row>
    <row r="4" spans="1:13">
      <c r="A4" s="1" t="s">
        <v>151</v>
      </c>
      <c r="B4" s="2" t="s">
        <v>6</v>
      </c>
      <c r="C4" s="24">
        <v>1.75</v>
      </c>
      <c r="D4" s="24">
        <v>0.25</v>
      </c>
      <c r="E4" s="24">
        <v>0</v>
      </c>
      <c r="F4" s="24">
        <v>3</v>
      </c>
      <c r="G4" s="24">
        <v>0.5</v>
      </c>
      <c r="H4" s="24">
        <v>2.25</v>
      </c>
      <c r="I4" s="24">
        <v>0.25</v>
      </c>
      <c r="J4" s="24"/>
      <c r="L4" s="5" t="s">
        <v>22</v>
      </c>
      <c r="M4" s="1">
        <v>3</v>
      </c>
    </row>
    <row r="5" spans="1:13">
      <c r="A5" s="1" t="s">
        <v>152</v>
      </c>
      <c r="B5" s="2" t="s">
        <v>7</v>
      </c>
      <c r="C5" s="24">
        <v>2</v>
      </c>
      <c r="D5" s="24">
        <v>1.25</v>
      </c>
      <c r="E5" s="24">
        <v>0.5</v>
      </c>
      <c r="F5" s="24">
        <v>3</v>
      </c>
      <c r="G5" s="24">
        <v>0.75</v>
      </c>
      <c r="H5" s="24">
        <v>2</v>
      </c>
      <c r="I5" s="24">
        <v>0.25</v>
      </c>
      <c r="J5" s="24"/>
      <c r="L5" s="5" t="s">
        <v>23</v>
      </c>
      <c r="M5" s="1">
        <v>4</v>
      </c>
    </row>
    <row r="6" spans="1:13">
      <c r="A6" s="1" t="s">
        <v>153</v>
      </c>
      <c r="B6" s="2" t="s">
        <v>10</v>
      </c>
      <c r="C6" s="24">
        <v>2.25</v>
      </c>
      <c r="D6" s="24">
        <v>2</v>
      </c>
      <c r="E6" s="24">
        <v>3</v>
      </c>
      <c r="F6" s="24">
        <v>0.25</v>
      </c>
      <c r="G6" s="24">
        <v>3</v>
      </c>
      <c r="H6" s="24">
        <v>2.75</v>
      </c>
      <c r="I6" s="24">
        <v>2.5</v>
      </c>
      <c r="J6" s="24"/>
      <c r="L6" s="5" t="s">
        <v>24</v>
      </c>
      <c r="M6" s="1">
        <v>5</v>
      </c>
    </row>
    <row r="7" spans="1:13">
      <c r="A7" s="1" t="s">
        <v>154</v>
      </c>
      <c r="B7" s="2" t="s">
        <v>11</v>
      </c>
      <c r="C7" s="24">
        <v>0.75</v>
      </c>
      <c r="D7" s="24">
        <v>0.75</v>
      </c>
      <c r="E7" s="24">
        <v>0.5</v>
      </c>
      <c r="F7" s="24">
        <v>1</v>
      </c>
      <c r="G7" s="24">
        <v>0.5</v>
      </c>
      <c r="H7" s="24">
        <v>1.75</v>
      </c>
      <c r="I7" s="24">
        <v>0.25</v>
      </c>
      <c r="J7" s="24"/>
      <c r="L7" s="5" t="s">
        <v>25</v>
      </c>
      <c r="M7" s="1">
        <v>7</v>
      </c>
    </row>
    <row r="8" spans="1:13">
      <c r="A8" s="1" t="s">
        <v>155</v>
      </c>
      <c r="B8" s="2" t="s">
        <v>13</v>
      </c>
      <c r="C8" s="24">
        <v>2.25</v>
      </c>
      <c r="D8" s="24">
        <v>2.75</v>
      </c>
      <c r="E8" s="24">
        <v>1.75</v>
      </c>
      <c r="F8" s="24">
        <v>0.25</v>
      </c>
      <c r="G8" s="24">
        <v>0.66666666666666663</v>
      </c>
      <c r="H8" s="24">
        <v>2.25</v>
      </c>
      <c r="I8" s="24">
        <v>2.5</v>
      </c>
      <c r="J8" s="24"/>
      <c r="L8" s="5" t="s">
        <v>27</v>
      </c>
      <c r="M8" s="1">
        <v>1</v>
      </c>
    </row>
    <row r="9" spans="1:13">
      <c r="A9" s="1" t="s">
        <v>156</v>
      </c>
      <c r="B9" s="2" t="s">
        <v>15</v>
      </c>
      <c r="C9" s="24">
        <v>1</v>
      </c>
      <c r="D9" s="24">
        <v>0.25</v>
      </c>
      <c r="E9" s="24">
        <v>1.5</v>
      </c>
      <c r="F9" s="24">
        <v>0</v>
      </c>
      <c r="G9" s="24">
        <v>0.33333333333333331</v>
      </c>
      <c r="H9" s="24">
        <v>1.75</v>
      </c>
      <c r="I9" s="24">
        <v>1.5</v>
      </c>
      <c r="J9" s="24"/>
      <c r="L9" s="5" t="s">
        <v>28</v>
      </c>
      <c r="M9" s="1">
        <v>6</v>
      </c>
    </row>
    <row r="10" spans="1:13">
      <c r="A10" s="1" t="s">
        <v>157</v>
      </c>
      <c r="B10" s="2" t="s">
        <v>16</v>
      </c>
      <c r="C10" s="24">
        <v>2</v>
      </c>
      <c r="D10" s="24">
        <v>0.5</v>
      </c>
      <c r="E10" s="24">
        <v>1.75</v>
      </c>
      <c r="F10" s="24">
        <v>1</v>
      </c>
      <c r="G10" s="24">
        <v>0.33333333333333331</v>
      </c>
      <c r="H10" s="24">
        <v>2.25</v>
      </c>
      <c r="I10" s="24">
        <v>0</v>
      </c>
      <c r="J10" s="24"/>
    </row>
    <row r="11" spans="1:13">
      <c r="B11" s="3"/>
      <c r="C11" s="24"/>
      <c r="D11" s="24"/>
      <c r="E11" s="24"/>
      <c r="F11" s="24"/>
      <c r="G11" s="24"/>
      <c r="H11" s="24"/>
      <c r="I11" s="24"/>
      <c r="J11" s="24"/>
      <c r="K11" s="42"/>
    </row>
    <row r="12" spans="1:13">
      <c r="B12" s="3"/>
      <c r="C12" s="24"/>
      <c r="D12" s="24"/>
      <c r="E12" s="24"/>
      <c r="F12" s="24"/>
      <c r="G12" s="24"/>
      <c r="H12" s="24"/>
      <c r="I12" s="24"/>
      <c r="J12" s="24"/>
      <c r="K12" s="42"/>
    </row>
    <row r="15" spans="1:13">
      <c r="B15" s="23" t="s">
        <v>158</v>
      </c>
      <c r="C15" s="22">
        <f>AVERAGE(C3:C12)</f>
        <v>1.875</v>
      </c>
      <c r="D15" s="22">
        <f t="shared" ref="D15:H15" si="0">AVERAGE(D3:D12)</f>
        <v>1.3125</v>
      </c>
      <c r="E15" s="22">
        <f t="shared" si="0"/>
        <v>1.46875</v>
      </c>
      <c r="F15" s="22">
        <f t="shared" si="0"/>
        <v>1.34375</v>
      </c>
      <c r="G15" s="22">
        <f t="shared" si="0"/>
        <v>1.0416666666666667</v>
      </c>
      <c r="H15" s="22">
        <f t="shared" si="0"/>
        <v>2.1875</v>
      </c>
      <c r="I15" s="22">
        <f>AVERAGE(I3:I12)</f>
        <v>1.125</v>
      </c>
      <c r="J15" s="22"/>
    </row>
    <row r="16" spans="1:13">
      <c r="B16" s="1" t="s">
        <v>159</v>
      </c>
      <c r="C16" s="1">
        <f>RANK(C15,$C$15:$I$15)</f>
        <v>2</v>
      </c>
      <c r="D16" s="1">
        <f t="shared" ref="D16:I16" si="1">RANK(D15,$C$15:$I$15)</f>
        <v>5</v>
      </c>
      <c r="E16" s="1">
        <f t="shared" si="1"/>
        <v>3</v>
      </c>
      <c r="F16" s="1">
        <f t="shared" si="1"/>
        <v>4</v>
      </c>
      <c r="G16" s="1">
        <f t="shared" si="1"/>
        <v>7</v>
      </c>
      <c r="H16" s="1">
        <f t="shared" si="1"/>
        <v>1</v>
      </c>
      <c r="I16" s="1">
        <f t="shared" si="1"/>
        <v>6</v>
      </c>
    </row>
  </sheetData>
  <sortState xmlns:xlrd2="http://schemas.microsoft.com/office/spreadsheetml/2017/richdata2" ref="L3:M7">
    <sortCondition ref="M3:M7"/>
  </sortState>
  <conditionalFormatting sqref="C15:J1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0052fe-1293-46cb-a96a-15dc24b46259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A39B451194E34FA25121E9240798D7" ma:contentTypeVersion="" ma:contentTypeDescription="Create a new document." ma:contentTypeScope="" ma:versionID="66313c71b6d7fa0bec452ae86c4372a8">
  <xsd:schema xmlns:xsd="http://www.w3.org/2001/XMLSchema" xmlns:xs="http://www.w3.org/2001/XMLSchema" xmlns:p="http://schemas.microsoft.com/office/2006/metadata/properties" xmlns:ns2="ff0052fe-1293-46cb-a96a-15dc24b46259" targetNamespace="http://schemas.microsoft.com/office/2006/metadata/properties" ma:root="true" ma:fieldsID="639d442796eabaa803510a6381086d98" ns2:_="">
    <xsd:import namespace="ff0052fe-1293-46cb-a96a-15dc24b4625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052fe-1293-46cb-a96a-15dc24b46259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757400ef-88a5-4d0b-8860-cfa85fa4fbdd}" ma:internalName="TaxCatchAll" ma:showField="CatchAllData" ma:web="ff0052fe-1293-46cb-a96a-15dc24b462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57400ef-88a5-4d0b-8860-cfa85fa4fbdd}" ma:internalName="TaxCatchAllLabel" ma:readOnly="true" ma:showField="CatchAllDataLabel" ma:web="ff0052fe-1293-46cb-a96a-15dc24b462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0AA304-8F68-41E9-8D4F-AF2B53DC90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24222E-1F62-4858-B957-41F929337A45}">
  <ds:schemaRefs>
    <ds:schemaRef ds:uri="http://schemas.microsoft.com/office/2006/metadata/properties"/>
    <ds:schemaRef ds:uri="http://schemas.microsoft.com/office/infopath/2007/PartnerControls"/>
    <ds:schemaRef ds:uri="ff0052fe-1293-46cb-a96a-15dc24b46259"/>
  </ds:schemaRefs>
</ds:datastoreItem>
</file>

<file path=customXml/itemProps3.xml><?xml version="1.0" encoding="utf-8"?>
<ds:datastoreItem xmlns:ds="http://schemas.openxmlformats.org/officeDocument/2006/customXml" ds:itemID="{6C13CB80-0C0D-46D9-A60E-FB01677965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0052fe-1293-46cb-a96a-15dc24b462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Objective_Metric</vt:lpstr>
      <vt:lpstr>Workings surfaced</vt:lpstr>
      <vt:lpstr>Lists</vt:lpstr>
      <vt:lpstr>Content_Platform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2019-12-12T15:55:33Z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0x01010056A39B451194E34FA25121E9240798D7</vt:lpwstr>
  </property>
  <property fmtid="{D5CDD505-2E9C-101B-9397-08002B2CF9AE}" pid="3" name="TaxKeyword">
    <vt:lpwstr/>
  </property>
  <property fmtid="{D5CDD505-2E9C-101B-9397-08002B2CF9AE}" pid="4" name="TaxKeywordTaxHTField">
    <vt:lpwstr/>
  </property>
</Properties>
</file>