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fileSharing readOnlyRecommended="1"/>
  <workbookPr/>
  <mc:AlternateContent xmlns:mc="http://schemas.openxmlformats.org/markup-compatibility/2006">
    <mc:Choice Requires="x15">
      <x15ac:absPath xmlns:x15ac="http://schemas.microsoft.com/office/spreadsheetml/2010/11/ac" url="https://theaudienceagency-my.sharepoint.com/personal/megan_tripp_theaudienceagency_org/Documents/Desktop/New PPRs/"/>
    </mc:Choice>
  </mc:AlternateContent>
  <xr:revisionPtr revIDLastSave="0" documentId="8_{67750C0A-C28C-4353-9751-FB0E567937B7}" xr6:coauthVersionLast="47" xr6:coauthVersionMax="47" xr10:uidLastSave="{00000000-0000-0000-0000-000000000000}"/>
  <bookViews>
    <workbookView xWindow="-110" yWindow="-110" windowWidth="19420" windowHeight="10300" tabRatio="870" xr2:uid="{00000000-000D-0000-FFFF-FFFF00000000}"/>
  </bookViews>
  <sheets>
    <sheet name="Introduction" sheetId="5" r:id="rId1"/>
    <sheet name="Segmentation" sheetId="6" r:id="rId2"/>
    <sheet name="Census demographics" sheetId="8" r:id="rId3"/>
    <sheet name="LMSE" sheetId="7" r:id="rId4"/>
    <sheet name="Disclaimer" sheetId="10" r:id="rId5"/>
    <sheet name="Calculations" sheetId="28" state="hidden" r:id="rId6"/>
  </sheets>
  <definedNames>
    <definedName name="_xlnm.Database">#REF!</definedName>
    <definedName name="_xlnm.Print_Area" localSheetId="2">'Census demographics'!$A$1:$G$533</definedName>
    <definedName name="_xlnm.Print_Area" localSheetId="4">Disclaimer!$A$1:$F$13</definedName>
    <definedName name="_xlnm.Print_Area" localSheetId="0">Introduction!$A$1:$F$57</definedName>
    <definedName name="_xlnm.Print_Area" localSheetId="3">LMSE!$A$1:$G$174</definedName>
    <definedName name="_xlnm.Print_Area" localSheetId="1">Segmentation!$A$1:$G$84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47" i="28" l="1"/>
  <c r="D346" i="28"/>
  <c r="D345" i="28"/>
  <c r="D344" i="28"/>
  <c r="D343" i="28"/>
  <c r="D342" i="28"/>
  <c r="D341" i="28"/>
  <c r="D340" i="28"/>
  <c r="D339" i="28"/>
  <c r="D338" i="28"/>
  <c r="D337" i="28"/>
  <c r="D336" i="28"/>
  <c r="D335" i="28"/>
  <c r="D334" i="28"/>
  <c r="D333" i="28"/>
  <c r="D332" i="28"/>
  <c r="D331" i="28"/>
  <c r="D330" i="28"/>
  <c r="D329" i="28"/>
  <c r="D328" i="28"/>
  <c r="D327" i="28"/>
  <c r="D326" i="28"/>
  <c r="D325" i="28"/>
  <c r="D324" i="28"/>
  <c r="D323" i="28"/>
  <c r="D322" i="28"/>
  <c r="D321" i="28"/>
  <c r="D320" i="28"/>
  <c r="D319" i="28"/>
  <c r="D318" i="28"/>
  <c r="D317" i="28"/>
  <c r="D316" i="28"/>
  <c r="D315" i="28"/>
  <c r="D314" i="28"/>
  <c r="D313" i="28"/>
  <c r="D312" i="28"/>
  <c r="D311" i="28"/>
  <c r="D310" i="28"/>
  <c r="D309" i="28"/>
  <c r="D308" i="28"/>
  <c r="D307" i="28"/>
  <c r="D306" i="28"/>
  <c r="D305" i="28"/>
  <c r="D304" i="28"/>
  <c r="D303" i="28"/>
  <c r="D302" i="28"/>
  <c r="D301" i="28"/>
  <c r="D300" i="28"/>
  <c r="D299" i="28"/>
  <c r="D298" i="28"/>
  <c r="D297" i="28"/>
  <c r="D296" i="28"/>
  <c r="D295" i="28"/>
  <c r="D294" i="28"/>
  <c r="D293" i="28"/>
  <c r="D292" i="28"/>
  <c r="D291" i="28"/>
  <c r="D290" i="28"/>
  <c r="D289" i="28"/>
  <c r="D288" i="28"/>
  <c r="D287" i="28"/>
  <c r="D286" i="28"/>
  <c r="D285" i="28"/>
  <c r="D284" i="28"/>
  <c r="D283" i="28"/>
  <c r="D282" i="28"/>
  <c r="D281" i="28"/>
  <c r="D280" i="28"/>
  <c r="D279" i="28"/>
  <c r="D278" i="28"/>
  <c r="D277" i="28"/>
  <c r="D276" i="28"/>
  <c r="D275" i="28"/>
  <c r="D274" i="28"/>
  <c r="D273" i="28"/>
  <c r="D272" i="28"/>
  <c r="D271" i="28"/>
  <c r="D270" i="28"/>
  <c r="D269" i="28"/>
  <c r="D268" i="28"/>
  <c r="D267" i="28"/>
  <c r="D266" i="28"/>
  <c r="D265" i="28"/>
  <c r="D264" i="28"/>
  <c r="D263" i="28"/>
  <c r="D262" i="28"/>
  <c r="D261" i="28"/>
  <c r="D260" i="28"/>
  <c r="D259" i="28"/>
  <c r="D258" i="28"/>
  <c r="D257" i="28"/>
  <c r="B347" i="28"/>
  <c r="B440" i="28" l="1"/>
  <c r="E440" i="28"/>
  <c r="B441" i="28"/>
  <c r="E441" i="28"/>
  <c r="B442" i="28"/>
  <c r="E442" i="28"/>
  <c r="B444" i="28"/>
  <c r="E444" i="28"/>
  <c r="A230" i="28"/>
  <c r="A231" i="28"/>
  <c r="A232" i="28"/>
  <c r="A233" i="28"/>
  <c r="A234" i="28"/>
  <c r="A235" i="28"/>
  <c r="A236" i="28"/>
  <c r="A237" i="28"/>
  <c r="A238" i="28"/>
  <c r="A239" i="28"/>
  <c r="A240" i="28"/>
  <c r="A246" i="28"/>
  <c r="A247" i="28"/>
  <c r="A248" i="28"/>
  <c r="A249" i="28"/>
  <c r="B346" i="28"/>
  <c r="D406" i="28"/>
  <c r="B345" i="28"/>
  <c r="B344" i="28"/>
  <c r="B405" i="28" s="1"/>
  <c r="D404" i="28"/>
  <c r="B343" i="28"/>
  <c r="B404" i="28" s="1"/>
  <c r="B342" i="28"/>
  <c r="B341" i="28"/>
  <c r="B340" i="28"/>
  <c r="D402" i="28"/>
  <c r="B339" i="28"/>
  <c r="B402" i="28" s="1"/>
  <c r="D401" i="28"/>
  <c r="B338" i="28"/>
  <c r="B337" i="28"/>
  <c r="B336" i="28"/>
  <c r="B335" i="28"/>
  <c r="B334" i="28"/>
  <c r="B398" i="28" s="1"/>
  <c r="D397" i="28"/>
  <c r="B333" i="28"/>
  <c r="B397" i="28" s="1"/>
  <c r="B332" i="28"/>
  <c r="B331" i="28"/>
  <c r="B330" i="28"/>
  <c r="D395" i="28"/>
  <c r="B329" i="28"/>
  <c r="D394" i="28"/>
  <c r="B328" i="28"/>
  <c r="B327" i="28"/>
  <c r="B326" i="28"/>
  <c r="B392" i="28" s="1"/>
  <c r="D391" i="28"/>
  <c r="B325" i="28"/>
  <c r="D390" i="28"/>
  <c r="B324" i="28"/>
  <c r="B323" i="28"/>
  <c r="D389" i="28"/>
  <c r="B322" i="28"/>
  <c r="B321" i="28"/>
  <c r="B320" i="28"/>
  <c r="B387" i="28" s="1"/>
  <c r="D386" i="28"/>
  <c r="B319" i="28"/>
  <c r="B318" i="28"/>
  <c r="B385" i="28" s="1"/>
  <c r="B317" i="28"/>
  <c r="B316" i="28"/>
  <c r="B315" i="28"/>
  <c r="B314" i="28"/>
  <c r="B382" i="28" s="1"/>
  <c r="D381" i="28"/>
  <c r="B313" i="28"/>
  <c r="D380" i="28"/>
  <c r="B312" i="28"/>
  <c r="B311" i="28"/>
  <c r="D379" i="28"/>
  <c r="B310" i="28"/>
  <c r="B309" i="28"/>
  <c r="B308" i="28"/>
  <c r="B377" i="28" s="1"/>
  <c r="D376" i="28"/>
  <c r="B307" i="28"/>
  <c r="B306" i="28"/>
  <c r="B305" i="28"/>
  <c r="B304" i="28"/>
  <c r="B375" i="28" s="1"/>
  <c r="D374" i="28"/>
  <c r="B303" i="28"/>
  <c r="B302" i="28"/>
  <c r="B301" i="28"/>
  <c r="B300" i="28"/>
  <c r="B371" i="28" s="1"/>
  <c r="E299" i="28"/>
  <c r="B299" i="28"/>
  <c r="B298" i="28"/>
  <c r="B370" i="28" s="1"/>
  <c r="D369" i="28"/>
  <c r="B297" i="28"/>
  <c r="B369" i="28" s="1"/>
  <c r="D368" i="28"/>
  <c r="B296" i="28"/>
  <c r="B368" i="28" s="1"/>
  <c r="E295" i="28"/>
  <c r="B295" i="28"/>
  <c r="B294" i="28"/>
  <c r="B293" i="28"/>
  <c r="B292" i="28"/>
  <c r="D366" i="28"/>
  <c r="B291" i="28"/>
  <c r="B366" i="28" s="1"/>
  <c r="B290" i="28"/>
  <c r="B289" i="28"/>
  <c r="B365" i="28" s="1"/>
  <c r="D363" i="28"/>
  <c r="B288" i="28"/>
  <c r="E287" i="28"/>
  <c r="E362" i="28" s="1"/>
  <c r="B287" i="28"/>
  <c r="B286" i="28"/>
  <c r="B361" i="28" s="1"/>
  <c r="D364" i="28"/>
  <c r="B285" i="28"/>
  <c r="B364" i="28" s="1"/>
  <c r="B284" i="28"/>
  <c r="B360" i="28" s="1"/>
  <c r="D359" i="28"/>
  <c r="B283" i="28"/>
  <c r="B359" i="28" s="1"/>
  <c r="D358" i="28"/>
  <c r="B282" i="28"/>
  <c r="B281" i="28"/>
  <c r="B280" i="28"/>
  <c r="B356" i="28" s="1"/>
  <c r="E279" i="28"/>
  <c r="B279" i="28"/>
  <c r="B278" i="28"/>
  <c r="B277" i="28"/>
  <c r="B276" i="28"/>
  <c r="B354" i="28" s="1"/>
  <c r="E275" i="28"/>
  <c r="B275" i="28"/>
  <c r="B274" i="28"/>
  <c r="B273" i="28"/>
  <c r="B272" i="28"/>
  <c r="E271" i="28"/>
  <c r="B271" i="28"/>
  <c r="B270" i="28"/>
  <c r="B353" i="28" s="1"/>
  <c r="B269" i="28"/>
  <c r="B268" i="28"/>
  <c r="E267" i="28"/>
  <c r="B267" i="28"/>
  <c r="B266" i="28"/>
  <c r="B265" i="28"/>
  <c r="B264" i="28"/>
  <c r="E263" i="28"/>
  <c r="B263" i="28"/>
  <c r="B262" i="28"/>
  <c r="B261" i="28"/>
  <c r="B260" i="28"/>
  <c r="E259" i="28"/>
  <c r="B259" i="28"/>
  <c r="B258" i="28"/>
  <c r="B257" i="28"/>
  <c r="B352" i="28" l="1"/>
  <c r="D352" i="28"/>
  <c r="C312" i="28"/>
  <c r="E258" i="28"/>
  <c r="E262" i="28"/>
  <c r="E266" i="28"/>
  <c r="E274" i="28"/>
  <c r="E278" i="28"/>
  <c r="E290" i="28"/>
  <c r="E294" i="28"/>
  <c r="E302" i="28"/>
  <c r="E373" i="28" s="1"/>
  <c r="E306" i="28"/>
  <c r="E318" i="28"/>
  <c r="E385" i="28" s="1"/>
  <c r="E260" i="28"/>
  <c r="E264" i="28"/>
  <c r="E268" i="28"/>
  <c r="E272" i="28"/>
  <c r="E316" i="28"/>
  <c r="E340" i="28"/>
  <c r="F442" i="28"/>
  <c r="E257" i="28"/>
  <c r="E261" i="28"/>
  <c r="E265" i="28"/>
  <c r="E269" i="28"/>
  <c r="E273" i="28"/>
  <c r="E277" i="28"/>
  <c r="E355" i="28" s="1"/>
  <c r="E281" i="28"/>
  <c r="E357" i="28" s="1"/>
  <c r="E285" i="28"/>
  <c r="E364" i="28" s="1"/>
  <c r="E289" i="28"/>
  <c r="E293" i="28"/>
  <c r="E301" i="28"/>
  <c r="E372" i="28" s="1"/>
  <c r="E305" i="28"/>
  <c r="E309" i="28"/>
  <c r="E378" i="28" s="1"/>
  <c r="E317" i="28"/>
  <c r="E384" i="28" s="1"/>
  <c r="C269" i="28"/>
  <c r="C273" i="28"/>
  <c r="C258" i="28"/>
  <c r="C262" i="28"/>
  <c r="C294" i="28"/>
  <c r="C441" i="28"/>
  <c r="E283" i="28"/>
  <c r="E359" i="28" s="1"/>
  <c r="E338" i="28"/>
  <c r="E401" i="28" s="1"/>
  <c r="E332" i="28"/>
  <c r="E396" i="28" s="1"/>
  <c r="E336" i="28"/>
  <c r="E400" i="28" s="1"/>
  <c r="C440" i="28"/>
  <c r="E321" i="28"/>
  <c r="E388" i="28" s="1"/>
  <c r="E337" i="28"/>
  <c r="D385" i="28"/>
  <c r="E330" i="28"/>
  <c r="F441" i="28"/>
  <c r="E311" i="28"/>
  <c r="E315" i="28"/>
  <c r="E383" i="28" s="1"/>
  <c r="E342" i="28"/>
  <c r="E403" i="28" s="1"/>
  <c r="E346" i="28"/>
  <c r="E407" i="28" s="1"/>
  <c r="E323" i="28"/>
  <c r="E327" i="28"/>
  <c r="E393" i="28" s="1"/>
  <c r="E331" i="28"/>
  <c r="E335" i="28"/>
  <c r="E399" i="28" s="1"/>
  <c r="C280" i="28"/>
  <c r="C356" i="28" s="1"/>
  <c r="F440" i="28"/>
  <c r="C313" i="28"/>
  <c r="C381" i="28" s="1"/>
  <c r="C341" i="28"/>
  <c r="C268" i="28"/>
  <c r="C442" i="28"/>
  <c r="C272" i="28"/>
  <c r="F272" i="28" s="1"/>
  <c r="C307" i="28"/>
  <c r="C376" i="28" s="1"/>
  <c r="C265" i="28"/>
  <c r="C266" i="28"/>
  <c r="E325" i="28"/>
  <c r="E391" i="28" s="1"/>
  <c r="E443" i="28"/>
  <c r="F443" i="28" s="1"/>
  <c r="C340" i="28"/>
  <c r="D373" i="28"/>
  <c r="E313" i="28"/>
  <c r="E381" i="28" s="1"/>
  <c r="B443" i="28"/>
  <c r="C443" i="28" s="1"/>
  <c r="B376" i="28"/>
  <c r="D362" i="28"/>
  <c r="E329" i="28"/>
  <c r="E395" i="28" s="1"/>
  <c r="C261" i="28"/>
  <c r="C270" i="28"/>
  <c r="C353" i="28" s="1"/>
  <c r="E282" i="28"/>
  <c r="E358" i="28" s="1"/>
  <c r="E288" i="28"/>
  <c r="E363" i="28" s="1"/>
  <c r="E296" i="28"/>
  <c r="E368" i="28" s="1"/>
  <c r="C305" i="28"/>
  <c r="B381" i="28"/>
  <c r="C316" i="28"/>
  <c r="D396" i="28"/>
  <c r="C336" i="28"/>
  <c r="C400" i="28" s="1"/>
  <c r="D407" i="28"/>
  <c r="C259" i="28"/>
  <c r="F259" i="28" s="1"/>
  <c r="C271" i="28"/>
  <c r="F271" i="28" s="1"/>
  <c r="C274" i="28"/>
  <c r="C289" i="28"/>
  <c r="C300" i="28"/>
  <c r="C371" i="28" s="1"/>
  <c r="C303" i="28"/>
  <c r="C374" i="28" s="1"/>
  <c r="C306" i="28"/>
  <c r="C319" i="28"/>
  <c r="C386" i="28" s="1"/>
  <c r="C330" i="28"/>
  <c r="D400" i="28"/>
  <c r="C339" i="28"/>
  <c r="C402" i="28" s="1"/>
  <c r="C278" i="28"/>
  <c r="C292" i="28"/>
  <c r="C295" i="28"/>
  <c r="F295" i="28" s="1"/>
  <c r="B380" i="28"/>
  <c r="C322" i="28"/>
  <c r="C389" i="28" s="1"/>
  <c r="C324" i="28"/>
  <c r="C390" i="28" s="1"/>
  <c r="C337" i="28"/>
  <c r="C260" i="28"/>
  <c r="C263" i="28"/>
  <c r="F263" i="28" s="1"/>
  <c r="C275" i="28"/>
  <c r="F275" i="28" s="1"/>
  <c r="E303" i="28"/>
  <c r="E374" i="28" s="1"/>
  <c r="C310" i="28"/>
  <c r="C314" i="28"/>
  <c r="C382" i="28" s="1"/>
  <c r="E319" i="28"/>
  <c r="E386" i="28" s="1"/>
  <c r="D393" i="28"/>
  <c r="C331" i="28"/>
  <c r="C334" i="28"/>
  <c r="C398" i="28" s="1"/>
  <c r="E339" i="28"/>
  <c r="E402" i="28" s="1"/>
  <c r="C342" i="28"/>
  <c r="C403" i="28" s="1"/>
  <c r="C257" i="28"/>
  <c r="D357" i="28"/>
  <c r="C284" i="28"/>
  <c r="C360" i="28" s="1"/>
  <c r="C290" i="28"/>
  <c r="C293" i="28"/>
  <c r="C298" i="28"/>
  <c r="C370" i="28" s="1"/>
  <c r="C318" i="28"/>
  <c r="C385" i="28" s="1"/>
  <c r="B389" i="28"/>
  <c r="C325" i="28"/>
  <c r="C391" i="28" s="1"/>
  <c r="C328" i="28"/>
  <c r="C394" i="28" s="1"/>
  <c r="C338" i="28"/>
  <c r="C401" i="28" s="1"/>
  <c r="C267" i="28"/>
  <c r="F267" i="28" s="1"/>
  <c r="C279" i="28"/>
  <c r="F279" i="28" s="1"/>
  <c r="C282" i="28"/>
  <c r="C288" i="28"/>
  <c r="C363" i="28" s="1"/>
  <c r="C296" i="28"/>
  <c r="C302" i="28"/>
  <c r="C373" i="28" s="1"/>
  <c r="C304" i="28"/>
  <c r="C375" i="28" s="1"/>
  <c r="C332" i="28"/>
  <c r="C396" i="28" s="1"/>
  <c r="D403" i="28"/>
  <c r="C346" i="28"/>
  <c r="C407" i="28" s="1"/>
  <c r="C264" i="28"/>
  <c r="C276" i="28"/>
  <c r="C354" i="28" s="1"/>
  <c r="C285" i="28"/>
  <c r="C364" i="28" s="1"/>
  <c r="C299" i="28"/>
  <c r="F299" i="28" s="1"/>
  <c r="C311" i="28"/>
  <c r="C320" i="28"/>
  <c r="C387" i="28" s="1"/>
  <c r="C323" i="28"/>
  <c r="C329" i="28"/>
  <c r="C395" i="28" s="1"/>
  <c r="C343" i="28"/>
  <c r="C404" i="28" s="1"/>
  <c r="D365" i="28"/>
  <c r="B386" i="28"/>
  <c r="C333" i="28"/>
  <c r="E341" i="28"/>
  <c r="C291" i="28"/>
  <c r="C297" i="28"/>
  <c r="C369" i="28" s="1"/>
  <c r="B374" i="28"/>
  <c r="C308" i="28"/>
  <c r="C377" i="28" s="1"/>
  <c r="E310" i="28"/>
  <c r="E379" i="28" s="1"/>
  <c r="E312" i="28"/>
  <c r="E380" i="28" s="1"/>
  <c r="E322" i="28"/>
  <c r="E389" i="28" s="1"/>
  <c r="B391" i="28"/>
  <c r="B395" i="28"/>
  <c r="E333" i="28"/>
  <c r="E397" i="28" s="1"/>
  <c r="E343" i="28"/>
  <c r="E404" i="28" s="1"/>
  <c r="C283" i="28"/>
  <c r="C359" i="28" s="1"/>
  <c r="E291" i="28"/>
  <c r="E366" i="28" s="1"/>
  <c r="E297" i="28"/>
  <c r="E369" i="28" s="1"/>
  <c r="B373" i="28"/>
  <c r="E324" i="28"/>
  <c r="E390" i="28" s="1"/>
  <c r="C326" i="28"/>
  <c r="C392" i="28" s="1"/>
  <c r="E328" i="28"/>
  <c r="E394" i="28" s="1"/>
  <c r="C344" i="28"/>
  <c r="C405" i="28" s="1"/>
  <c r="C286" i="28"/>
  <c r="C361" i="28" s="1"/>
  <c r="E307" i="28"/>
  <c r="E376" i="28" s="1"/>
  <c r="D378" i="28"/>
  <c r="E280" i="28"/>
  <c r="D356" i="28"/>
  <c r="E284" i="28"/>
  <c r="D360" i="28"/>
  <c r="C301" i="28"/>
  <c r="B372" i="28"/>
  <c r="E308" i="28"/>
  <c r="D377" i="28"/>
  <c r="C315" i="28"/>
  <c r="B383" i="28"/>
  <c r="E326" i="28"/>
  <c r="D392" i="28"/>
  <c r="C321" i="28"/>
  <c r="B388" i="28"/>
  <c r="B367" i="28"/>
  <c r="E298" i="28"/>
  <c r="E370" i="28" s="1"/>
  <c r="D370" i="28"/>
  <c r="B396" i="28"/>
  <c r="B400" i="28"/>
  <c r="C345" i="28"/>
  <c r="B406" i="28"/>
  <c r="C277" i="28"/>
  <c r="B355" i="28"/>
  <c r="C335" i="28"/>
  <c r="B399" i="28"/>
  <c r="C281" i="28"/>
  <c r="B357" i="28"/>
  <c r="E292" i="28"/>
  <c r="D367" i="28"/>
  <c r="E300" i="28"/>
  <c r="E371" i="28" s="1"/>
  <c r="D371" i="28"/>
  <c r="D372" i="28"/>
  <c r="E304" i="28"/>
  <c r="E375" i="28" s="1"/>
  <c r="D375" i="28"/>
  <c r="C309" i="28"/>
  <c r="B378" i="28"/>
  <c r="C380" i="28"/>
  <c r="E314" i="28"/>
  <c r="E382" i="28" s="1"/>
  <c r="D382" i="28"/>
  <c r="D383" i="28"/>
  <c r="C327" i="28"/>
  <c r="B393" i="28"/>
  <c r="B403" i="28"/>
  <c r="E345" i="28"/>
  <c r="E406" i="28" s="1"/>
  <c r="B407" i="28"/>
  <c r="E270" i="28"/>
  <c r="E353" i="28" s="1"/>
  <c r="D353" i="28"/>
  <c r="B358" i="28"/>
  <c r="C287" i="28"/>
  <c r="B362" i="28"/>
  <c r="B379" i="28"/>
  <c r="D384" i="28"/>
  <c r="E320" i="28"/>
  <c r="E387" i="28" s="1"/>
  <c r="D387" i="28"/>
  <c r="D388" i="28"/>
  <c r="B390" i="28"/>
  <c r="B394" i="28"/>
  <c r="E286" i="28"/>
  <c r="E361" i="28" s="1"/>
  <c r="D361" i="28"/>
  <c r="E276" i="28"/>
  <c r="D354" i="28"/>
  <c r="D355" i="28"/>
  <c r="B363" i="28"/>
  <c r="E334" i="28"/>
  <c r="D398" i="28"/>
  <c r="D399" i="28"/>
  <c r="B401" i="28"/>
  <c r="C317" i="28"/>
  <c r="B384" i="28"/>
  <c r="E344" i="28"/>
  <c r="D405" i="28"/>
  <c r="C352" i="28" l="1"/>
  <c r="E352" i="28"/>
  <c r="G442" i="28"/>
  <c r="F262" i="28"/>
  <c r="F312" i="28"/>
  <c r="F266" i="28"/>
  <c r="F289" i="28"/>
  <c r="F293" i="28"/>
  <c r="F260" i="28"/>
  <c r="F258" i="28"/>
  <c r="F290" i="28"/>
  <c r="F306" i="28"/>
  <c r="F340" i="28"/>
  <c r="F268" i="28"/>
  <c r="F265" i="28"/>
  <c r="F274" i="28"/>
  <c r="F305" i="28"/>
  <c r="F269" i="28"/>
  <c r="F294" i="28"/>
  <c r="F316" i="28"/>
  <c r="E367" i="28"/>
  <c r="F278" i="28"/>
  <c r="F273" i="28"/>
  <c r="E365" i="28"/>
  <c r="D442" i="28"/>
  <c r="F264" i="28"/>
  <c r="F302" i="28"/>
  <c r="F311" i="28"/>
  <c r="F332" i="28"/>
  <c r="F323" i="28"/>
  <c r="F337" i="28"/>
  <c r="F257" i="28"/>
  <c r="G441" i="28"/>
  <c r="F285" i="28"/>
  <c r="F296" i="28"/>
  <c r="F261" i="28"/>
  <c r="D441" i="28"/>
  <c r="F331" i="28"/>
  <c r="F318" i="28"/>
  <c r="F342" i="28"/>
  <c r="F310" i="28"/>
  <c r="C379" i="28"/>
  <c r="F338" i="28"/>
  <c r="F330" i="28"/>
  <c r="F336" i="28"/>
  <c r="C368" i="28"/>
  <c r="F282" i="28"/>
  <c r="F292" i="28"/>
  <c r="F341" i="28"/>
  <c r="F325" i="28"/>
  <c r="F303" i="28"/>
  <c r="F339" i="28"/>
  <c r="F329" i="28"/>
  <c r="F346" i="28"/>
  <c r="F298" i="28"/>
  <c r="C367" i="28"/>
  <c r="F313" i="28"/>
  <c r="F307" i="28"/>
  <c r="F319" i="28"/>
  <c r="F328" i="28"/>
  <c r="F343" i="28"/>
  <c r="F288" i="28"/>
  <c r="F314" i="28"/>
  <c r="C358" i="28"/>
  <c r="F283" i="28"/>
  <c r="F297" i="28"/>
  <c r="C365" i="28"/>
  <c r="F324" i="28"/>
  <c r="F320" i="28"/>
  <c r="F322" i="28"/>
  <c r="C397" i="28"/>
  <c r="F333" i="28"/>
  <c r="C366" i="28"/>
  <c r="F291" i="28"/>
  <c r="F308" i="28"/>
  <c r="E377" i="28"/>
  <c r="F287" i="28"/>
  <c r="C362" i="28"/>
  <c r="F277" i="28"/>
  <c r="C355" i="28"/>
  <c r="F317" i="28"/>
  <c r="C384" i="28"/>
  <c r="F334" i="28"/>
  <c r="E398" i="28"/>
  <c r="F304" i="28"/>
  <c r="F281" i="28"/>
  <c r="C357" i="28"/>
  <c r="F301" i="28"/>
  <c r="C372" i="28"/>
  <c r="F280" i="28"/>
  <c r="E356" i="28"/>
  <c r="F321" i="28"/>
  <c r="C388" i="28"/>
  <c r="F326" i="28"/>
  <c r="E392" i="28"/>
  <c r="F270" i="28"/>
  <c r="E405" i="28"/>
  <c r="F344" i="28"/>
  <c r="F276" i="28"/>
  <c r="E354" i="28"/>
  <c r="F309" i="28"/>
  <c r="C378" i="28"/>
  <c r="F284" i="28"/>
  <c r="E360" i="28"/>
  <c r="F300" i="28"/>
  <c r="F327" i="28"/>
  <c r="C393" i="28"/>
  <c r="F335" i="28"/>
  <c r="C399" i="28"/>
  <c r="F345" i="28"/>
  <c r="C406" i="28"/>
  <c r="F315" i="28"/>
  <c r="C383" i="28"/>
  <c r="F286" i="28"/>
  <c r="A425" i="28" l="1"/>
  <c r="A417" i="28"/>
  <c r="A424" i="28"/>
  <c r="A416" i="28"/>
  <c r="A419" i="28"/>
  <c r="A410" i="28"/>
  <c r="A423" i="28"/>
  <c r="A415" i="28"/>
  <c r="A411" i="28"/>
  <c r="A422" i="28"/>
  <c r="A414" i="28"/>
  <c r="A427" i="28"/>
  <c r="A418" i="28"/>
  <c r="A429" i="28"/>
  <c r="A421" i="28"/>
  <c r="A413" i="28"/>
  <c r="A426" i="28"/>
  <c r="A428" i="28"/>
  <c r="A420" i="28"/>
  <c r="A412" i="28"/>
  <c r="B425" i="28" l="1"/>
  <c r="B413" i="28"/>
  <c r="B415" i="28"/>
  <c r="B427" i="28"/>
  <c r="B411" i="28"/>
  <c r="B421" i="28"/>
  <c r="B423" i="28"/>
  <c r="B412" i="28"/>
  <c r="B429" i="28"/>
  <c r="B410" i="28"/>
  <c r="B426" i="28"/>
  <c r="B418" i="28"/>
  <c r="B419" i="28"/>
  <c r="B416" i="28"/>
  <c r="B420" i="28"/>
  <c r="B414" i="28"/>
  <c r="B424" i="28"/>
  <c r="B428" i="28"/>
  <c r="B422" i="28"/>
  <c r="B417" i="28"/>
  <c r="A432" i="28" l="1"/>
  <c r="C154" i="28" l="1"/>
  <c r="B152" i="28"/>
  <c r="C151" i="28" l="1"/>
  <c r="C153" i="28"/>
  <c r="B153" i="28"/>
  <c r="B151" i="28" l="1"/>
  <c r="B154" i="28"/>
  <c r="C152" i="28"/>
  <c r="D190" i="28" l="1"/>
  <c r="D189" i="28"/>
  <c r="D188" i="28"/>
  <c r="D187" i="28"/>
  <c r="D186" i="28"/>
  <c r="B190" i="28"/>
  <c r="B189" i="28"/>
  <c r="B188" i="28"/>
  <c r="B187" i="28"/>
  <c r="B186" i="28"/>
  <c r="B185" i="28" l="1"/>
  <c r="B199" i="28" s="1"/>
  <c r="B200" i="28"/>
  <c r="B201" i="28"/>
  <c r="D185" i="28"/>
  <c r="B184" i="28"/>
  <c r="D184" i="28"/>
  <c r="D201" i="28"/>
  <c r="B192" i="28"/>
  <c r="C186" i="28" s="1"/>
  <c r="C200" i="28" s="1"/>
  <c r="B202" i="28"/>
  <c r="D202" i="28"/>
  <c r="D192" i="28"/>
  <c r="E188" i="28" s="1"/>
  <c r="E202" i="28" s="1"/>
  <c r="B183" i="28"/>
  <c r="B203" i="28"/>
  <c r="D183" i="28"/>
  <c r="D203" i="28"/>
  <c r="B204" i="28"/>
  <c r="D204" i="28"/>
  <c r="D200" i="28"/>
  <c r="B143" i="28"/>
  <c r="B146" i="28"/>
  <c r="B148" i="28"/>
  <c r="B147" i="28"/>
  <c r="C148" i="28"/>
  <c r="C143" i="28"/>
  <c r="C146" i="28"/>
  <c r="C147" i="28"/>
  <c r="C145" i="28"/>
  <c r="C144" i="28" l="1"/>
  <c r="B144" i="28"/>
  <c r="B145" i="28"/>
  <c r="E190" i="28"/>
  <c r="E204" i="28" s="1"/>
  <c r="B191" i="28"/>
  <c r="C191" i="28" s="1"/>
  <c r="C190" i="28"/>
  <c r="C204" i="28" s="1"/>
  <c r="C188" i="28"/>
  <c r="C202" i="28" s="1"/>
  <c r="E186" i="28"/>
  <c r="E200" i="28" s="1"/>
  <c r="E189" i="28"/>
  <c r="E203" i="28" s="1"/>
  <c r="B198" i="28"/>
  <c r="C184" i="28"/>
  <c r="C198" i="28" s="1"/>
  <c r="D197" i="28"/>
  <c r="E183" i="28"/>
  <c r="E197" i="28" s="1"/>
  <c r="D199" i="28"/>
  <c r="E185" i="28"/>
  <c r="E199" i="28" s="1"/>
  <c r="C189" i="28"/>
  <c r="C203" i="28" s="1"/>
  <c r="C185" i="28"/>
  <c r="C199" i="28" s="1"/>
  <c r="B197" i="28"/>
  <c r="C183" i="28"/>
  <c r="C197" i="28" s="1"/>
  <c r="C187" i="28"/>
  <c r="C201" i="28" s="1"/>
  <c r="D191" i="28"/>
  <c r="E191" i="28" s="1"/>
  <c r="E187" i="28"/>
  <c r="E201" i="28" s="1"/>
  <c r="A476" i="28"/>
  <c r="A471" i="28"/>
  <c r="A467" i="28"/>
  <c r="A475" i="28"/>
  <c r="A472" i="28"/>
  <c r="A468" i="28"/>
  <c r="A473" i="28"/>
  <c r="A470" i="28"/>
  <c r="A474" i="28"/>
  <c r="A469" i="28"/>
  <c r="D198" i="28"/>
  <c r="E184" i="28"/>
  <c r="E198" i="28" s="1"/>
  <c r="B446" i="28"/>
  <c r="D446" i="28" s="1"/>
  <c r="B445" i="28"/>
  <c r="D443" i="28" s="1"/>
  <c r="D469" i="28" l="1"/>
  <c r="B469" i="28"/>
  <c r="E469" i="28"/>
  <c r="C469" i="28"/>
  <c r="D471" i="28"/>
  <c r="E471" i="28"/>
  <c r="B471" i="28"/>
  <c r="C471" i="28"/>
  <c r="E474" i="28"/>
  <c r="C474" i="28"/>
  <c r="D474" i="28"/>
  <c r="B474" i="28"/>
  <c r="E476" i="28"/>
  <c r="D476" i="28"/>
  <c r="B476" i="28"/>
  <c r="C476" i="28"/>
  <c r="E470" i="28"/>
  <c r="D470" i="28"/>
  <c r="C470" i="28"/>
  <c r="B470" i="28"/>
  <c r="D473" i="28"/>
  <c r="E473" i="28"/>
  <c r="B473" i="28"/>
  <c r="C473" i="28"/>
  <c r="E468" i="28"/>
  <c r="B468" i="28"/>
  <c r="C468" i="28"/>
  <c r="D468" i="28"/>
  <c r="D472" i="28"/>
  <c r="E472" i="28"/>
  <c r="C472" i="28"/>
  <c r="B472" i="28"/>
  <c r="A211" i="28"/>
  <c r="A209" i="28"/>
  <c r="A210" i="28"/>
  <c r="B475" i="28"/>
  <c r="D475" i="28"/>
  <c r="C475" i="28"/>
  <c r="E475" i="28"/>
  <c r="B467" i="28"/>
  <c r="C467" i="28"/>
  <c r="D467" i="28"/>
  <c r="E467" i="28"/>
  <c r="B211" i="28" l="1"/>
  <c r="D211" i="28"/>
  <c r="E211" i="28"/>
  <c r="C211" i="28"/>
  <c r="B209" i="28"/>
  <c r="C209" i="28"/>
  <c r="D209" i="28"/>
  <c r="E209" i="28"/>
  <c r="C210" i="28"/>
  <c r="B210" i="28"/>
  <c r="E210" i="28"/>
  <c r="D210" i="28"/>
  <c r="D55" i="28"/>
  <c r="C175" i="28" l="1"/>
  <c r="C249" i="28"/>
  <c r="C240" i="28"/>
  <c r="B241" i="28"/>
  <c r="B240" i="28"/>
  <c r="B225" i="28"/>
  <c r="C224" i="28"/>
  <c r="B249" i="28"/>
  <c r="B224" i="28"/>
  <c r="C225" i="28"/>
  <c r="C241" i="28"/>
  <c r="C250" i="28"/>
  <c r="B172" i="28"/>
  <c r="B246" i="28"/>
  <c r="B250" i="28"/>
  <c r="B237" i="28"/>
  <c r="B233" i="28"/>
  <c r="B222" i="28"/>
  <c r="C236" i="28"/>
  <c r="C221" i="28"/>
  <c r="B176" i="28"/>
  <c r="B239" i="28"/>
  <c r="B174" i="28"/>
  <c r="B248" i="28"/>
  <c r="B218" i="28"/>
  <c r="C232" i="28"/>
  <c r="C217" i="28"/>
  <c r="B175" i="28"/>
  <c r="B171" i="28"/>
  <c r="B236" i="28"/>
  <c r="B232" i="28"/>
  <c r="B221" i="28"/>
  <c r="B217" i="28"/>
  <c r="C171" i="28"/>
  <c r="C174" i="28"/>
  <c r="C170" i="28"/>
  <c r="C248" i="28"/>
  <c r="C239" i="28"/>
  <c r="C235" i="28"/>
  <c r="C231" i="28"/>
  <c r="C220" i="28"/>
  <c r="B170" i="28"/>
  <c r="B235" i="28"/>
  <c r="C238" i="28"/>
  <c r="C230" i="28"/>
  <c r="C219" i="28"/>
  <c r="B173" i="28"/>
  <c r="B247" i="28"/>
  <c r="B238" i="28"/>
  <c r="B234" i="28"/>
  <c r="B230" i="28"/>
  <c r="B223" i="28"/>
  <c r="B219" i="28"/>
  <c r="B231" i="28"/>
  <c r="B220" i="28"/>
  <c r="C173" i="28"/>
  <c r="C247" i="28"/>
  <c r="C234" i="28"/>
  <c r="C223" i="28"/>
  <c r="C176" i="28"/>
  <c r="C172" i="28"/>
  <c r="C246" i="28"/>
  <c r="C237" i="28"/>
  <c r="C233" i="28"/>
  <c r="C222" i="28"/>
  <c r="C218" i="28"/>
  <c r="C177" i="28"/>
  <c r="B177" i="28"/>
  <c r="D172" i="28" l="1"/>
  <c r="D175" i="28"/>
  <c r="D176" i="28"/>
  <c r="D174" i="28"/>
  <c r="D170" i="28"/>
  <c r="D171" i="28"/>
  <c r="D173" i="28"/>
  <c r="C164" i="28"/>
  <c r="C163" i="28"/>
  <c r="C162" i="28"/>
  <c r="C158" i="28"/>
  <c r="C157" i="28"/>
  <c r="C161" i="28"/>
  <c r="C160" i="28"/>
  <c r="C159" i="28"/>
  <c r="B164" i="28"/>
  <c r="B163" i="28"/>
  <c r="B162" i="28"/>
  <c r="B158" i="28"/>
  <c r="B161" i="28"/>
  <c r="B160" i="28"/>
  <c r="B159" i="28"/>
  <c r="B157" i="28" l="1"/>
  <c r="D459" i="28" l="1"/>
  <c r="D458" i="28"/>
  <c r="D457" i="28"/>
  <c r="D456" i="28"/>
  <c r="D455" i="28"/>
  <c r="D454" i="28"/>
  <c r="D453" i="28"/>
  <c r="D72" i="28"/>
  <c r="D71" i="28"/>
  <c r="D70" i="28"/>
  <c r="D69" i="28"/>
  <c r="D68" i="28"/>
  <c r="D67" i="28"/>
  <c r="D66" i="28"/>
  <c r="D65" i="28"/>
  <c r="D64" i="28"/>
  <c r="D63" i="28"/>
  <c r="D62" i="28"/>
  <c r="D61" i="28"/>
  <c r="D60" i="28"/>
  <c r="D59" i="28"/>
  <c r="D58" i="28"/>
  <c r="D57" i="28"/>
  <c r="D56" i="28"/>
  <c r="D460" i="28" l="1"/>
  <c r="E55" i="28" l="1"/>
  <c r="C116" i="28"/>
  <c r="C134" i="28"/>
  <c r="E67" i="28" l="1"/>
  <c r="C128" i="28"/>
  <c r="E58" i="28"/>
  <c r="C119" i="28"/>
  <c r="E69" i="28"/>
  <c r="C130" i="28"/>
  <c r="E56" i="28"/>
  <c r="C117" i="28"/>
  <c r="E70" i="28"/>
  <c r="C131" i="28"/>
  <c r="E60" i="28"/>
  <c r="C121" i="28"/>
  <c r="E64" i="28"/>
  <c r="C125" i="28"/>
  <c r="E61" i="28"/>
  <c r="C122" i="28"/>
  <c r="E66" i="28"/>
  <c r="C127" i="28"/>
  <c r="E62" i="28"/>
  <c r="C123" i="28"/>
  <c r="E57" i="28"/>
  <c r="C118" i="28"/>
  <c r="E68" i="28"/>
  <c r="C129" i="28"/>
  <c r="E72" i="28"/>
  <c r="C133" i="28"/>
  <c r="E71" i="28"/>
  <c r="C132" i="28"/>
  <c r="E59" i="28"/>
  <c r="C120" i="28"/>
  <c r="E65" i="28"/>
  <c r="C126" i="28"/>
  <c r="E63" i="28"/>
  <c r="C124" i="28"/>
  <c r="B459" i="28" l="1"/>
  <c r="B458" i="28"/>
  <c r="B457" i="28"/>
  <c r="B456" i="28"/>
  <c r="B455" i="28"/>
  <c r="B454" i="28"/>
  <c r="B453" i="28"/>
  <c r="B55" i="28"/>
  <c r="B72" i="28"/>
  <c r="B71" i="28"/>
  <c r="B70" i="28"/>
  <c r="B69" i="28"/>
  <c r="B68" i="28"/>
  <c r="B67" i="28"/>
  <c r="B66" i="28"/>
  <c r="B65" i="28"/>
  <c r="B64" i="28"/>
  <c r="B63" i="28"/>
  <c r="B62" i="28"/>
  <c r="B61" i="28"/>
  <c r="B60" i="28"/>
  <c r="B59" i="28"/>
  <c r="B58" i="28"/>
  <c r="B57" i="28"/>
  <c r="B56" i="28"/>
  <c r="B460" i="28" l="1"/>
  <c r="C62" i="28" l="1"/>
  <c r="B123" i="28"/>
  <c r="B134" i="28"/>
  <c r="B139" i="28"/>
  <c r="C67" i="28" l="1"/>
  <c r="B128" i="28"/>
  <c r="C71" i="28"/>
  <c r="B132" i="28"/>
  <c r="C58" i="28"/>
  <c r="B119" i="28"/>
  <c r="C55" i="28"/>
  <c r="B116" i="28"/>
  <c r="C68" i="28"/>
  <c r="B129" i="28"/>
  <c r="C64" i="28"/>
  <c r="B125" i="28"/>
  <c r="C57" i="28"/>
  <c r="B118" i="28"/>
  <c r="C69" i="28"/>
  <c r="B130" i="28"/>
  <c r="C65" i="28"/>
  <c r="B126" i="28"/>
  <c r="C56" i="28"/>
  <c r="B117" i="28"/>
  <c r="C70" i="28"/>
  <c r="B131" i="28"/>
  <c r="C66" i="28"/>
  <c r="B127" i="28"/>
  <c r="C72" i="28"/>
  <c r="B133" i="28"/>
  <c r="C61" i="28"/>
  <c r="B122" i="28"/>
  <c r="C63" i="28"/>
  <c r="B124" i="28"/>
  <c r="C59" i="28"/>
  <c r="B120" i="28"/>
  <c r="C60" i="28"/>
  <c r="B121" i="28"/>
  <c r="A83" i="28" l="1"/>
  <c r="D83" i="28" s="1"/>
  <c r="A79" i="28"/>
  <c r="D79" i="28" s="1"/>
  <c r="A81" i="28"/>
  <c r="E81" i="28" s="1"/>
  <c r="A82" i="28"/>
  <c r="E82" i="28" s="1"/>
  <c r="A80" i="28"/>
  <c r="E80" i="28" s="1"/>
  <c r="B83" i="28" l="1"/>
  <c r="E83" i="28"/>
  <c r="C83" i="28"/>
  <c r="C79" i="28"/>
  <c r="C81" i="28"/>
  <c r="D81" i="28"/>
  <c r="B81" i="28"/>
  <c r="B79" i="28"/>
  <c r="E79" i="28"/>
  <c r="B82" i="28"/>
  <c r="D82" i="28"/>
  <c r="C82" i="28"/>
  <c r="D80" i="28"/>
  <c r="C80" i="28"/>
  <c r="B80" i="28"/>
  <c r="C139" i="28" l="1"/>
  <c r="F72" i="28"/>
  <c r="F69" i="28"/>
  <c r="F70" i="28"/>
  <c r="F58" i="28"/>
  <c r="F56" i="28"/>
  <c r="F67" i="28"/>
  <c r="F68" i="28"/>
  <c r="F62" i="28"/>
  <c r="F61" i="28"/>
  <c r="F57" i="28"/>
  <c r="F66" i="28"/>
  <c r="F60" i="28"/>
  <c r="F59" i="28"/>
  <c r="F65" i="28"/>
  <c r="F71" i="28"/>
  <c r="F55" i="28"/>
  <c r="F63" i="28"/>
  <c r="F64" i="28"/>
  <c r="C110" i="28" l="1"/>
  <c r="C102" i="28"/>
  <c r="E459" i="28"/>
  <c r="B110" i="28"/>
  <c r="C93" i="28"/>
  <c r="B98" i="28"/>
  <c r="E457" i="28"/>
  <c r="C138" i="28"/>
  <c r="C112" i="28"/>
  <c r="C92" i="28"/>
  <c r="E455" i="28"/>
  <c r="C137" i="28"/>
  <c r="C113" i="28"/>
  <c r="C105" i="28"/>
  <c r="C101" i="28"/>
  <c r="C90" i="28"/>
  <c r="E453" i="28"/>
  <c r="C96" i="28"/>
  <c r="C106" i="28"/>
  <c r="B140" i="28"/>
  <c r="C97" i="28"/>
  <c r="C91" i="28"/>
  <c r="C89" i="28"/>
  <c r="B93" i="28"/>
  <c r="C104" i="28"/>
  <c r="B95" i="28"/>
  <c r="B103" i="28"/>
  <c r="C95" i="28"/>
  <c r="B102" i="28"/>
  <c r="B105" i="28"/>
  <c r="C100" i="28"/>
  <c r="C98" i="28"/>
  <c r="B99" i="28"/>
  <c r="C99" i="28"/>
  <c r="C94" i="28"/>
  <c r="B106" i="28"/>
  <c r="B111" i="28"/>
  <c r="B92" i="28"/>
  <c r="B113" i="28"/>
  <c r="C454" i="28"/>
  <c r="C103" i="28"/>
  <c r="B94" i="28"/>
  <c r="B100" i="28"/>
  <c r="B91" i="28"/>
  <c r="C456" i="28"/>
  <c r="C459" i="28"/>
  <c r="C453" i="28"/>
  <c r="E458" i="28"/>
  <c r="E456" i="28"/>
  <c r="E454" i="28"/>
  <c r="B104" i="28"/>
  <c r="B101" i="28"/>
  <c r="B97" i="28"/>
  <c r="B138" i="28"/>
  <c r="C140" i="28"/>
  <c r="C111" i="28"/>
  <c r="C109" i="28"/>
  <c r="B109" i="28"/>
  <c r="B96" i="28"/>
  <c r="B90" i="28"/>
  <c r="B89" i="28"/>
  <c r="C455" i="28"/>
  <c r="C457" i="28"/>
  <c r="B112" i="28"/>
  <c r="B137" i="28" l="1"/>
  <c r="C458" i="28"/>
  <c r="I14" i="28"/>
  <c r="I16" i="28"/>
  <c r="I21" i="28"/>
  <c r="I11" i="28"/>
  <c r="I17" i="28"/>
  <c r="I20" i="28"/>
  <c r="I12" i="28"/>
  <c r="I18" i="28"/>
  <c r="I15" i="28"/>
  <c r="I19" i="28"/>
  <c r="I13" i="28"/>
  <c r="Q21" i="28"/>
  <c r="Q20" i="28"/>
  <c r="Q19" i="28"/>
  <c r="E15" i="28"/>
  <c r="E11" i="28"/>
  <c r="E8" i="28"/>
  <c r="E13" i="28"/>
  <c r="E9" i="28"/>
  <c r="E18" i="28"/>
  <c r="E19" i="28"/>
  <c r="E17" i="28"/>
  <c r="E20" i="28"/>
  <c r="E12" i="28"/>
  <c r="E7" i="28"/>
  <c r="E14" i="28"/>
  <c r="E16" i="28"/>
  <c r="E21" i="28"/>
  <c r="E10" i="28"/>
  <c r="R20" i="28"/>
  <c r="R21" i="28"/>
  <c r="K18" i="28"/>
  <c r="K19" i="28"/>
  <c r="K17" i="28"/>
  <c r="K20" i="28"/>
  <c r="K14" i="28"/>
  <c r="K16" i="28"/>
  <c r="K21" i="28"/>
  <c r="K15" i="28"/>
  <c r="K13" i="28"/>
  <c r="G10" i="28"/>
  <c r="G11" i="28"/>
  <c r="G9" i="28"/>
  <c r="G12" i="28"/>
  <c r="G15" i="28"/>
  <c r="G13" i="28"/>
  <c r="G21" i="28"/>
  <c r="G18" i="28"/>
  <c r="G19" i="28"/>
  <c r="G16" i="28"/>
  <c r="G17" i="28"/>
  <c r="G20" i="28"/>
  <c r="G14" i="28"/>
  <c r="O21" i="28"/>
  <c r="O18" i="28"/>
  <c r="O19" i="28"/>
  <c r="O17" i="28"/>
  <c r="O20" i="28"/>
  <c r="L15" i="28"/>
  <c r="L18" i="28"/>
  <c r="L19" i="28"/>
  <c r="L17" i="28"/>
  <c r="L20" i="28"/>
  <c r="L14" i="28"/>
  <c r="L16" i="28"/>
  <c r="L21" i="28"/>
  <c r="N16" i="28"/>
  <c r="N21" i="28"/>
  <c r="N18" i="28"/>
  <c r="N19" i="28"/>
  <c r="N17" i="28"/>
  <c r="N20" i="28"/>
  <c r="S21" i="28"/>
  <c r="B4" i="28"/>
  <c r="B17" i="28"/>
  <c r="B20" i="28"/>
  <c r="B7" i="28"/>
  <c r="B14" i="28"/>
  <c r="B5" i="28"/>
  <c r="B16" i="28"/>
  <c r="B21" i="28"/>
  <c r="B10" i="28"/>
  <c r="B11" i="28"/>
  <c r="B8" i="28"/>
  <c r="B19" i="28"/>
  <c r="B9" i="28"/>
  <c r="B12" i="28"/>
  <c r="B13" i="28"/>
  <c r="B6" i="28"/>
  <c r="B15" i="28"/>
  <c r="B18" i="28"/>
  <c r="D8" i="28"/>
  <c r="D13" i="28"/>
  <c r="D18" i="28"/>
  <c r="D19" i="28"/>
  <c r="D15" i="28"/>
  <c r="D17" i="28"/>
  <c r="D20" i="28"/>
  <c r="D6" i="28"/>
  <c r="D7" i="28"/>
  <c r="D14" i="28"/>
  <c r="D12" i="28"/>
  <c r="D16" i="28"/>
  <c r="D21" i="28"/>
  <c r="D9" i="28"/>
  <c r="D10" i="28"/>
  <c r="D11" i="28"/>
  <c r="C18" i="28"/>
  <c r="C19" i="28"/>
  <c r="C6" i="28"/>
  <c r="C17" i="28"/>
  <c r="C20" i="28"/>
  <c r="C15" i="28"/>
  <c r="C13" i="28"/>
  <c r="C7" i="28"/>
  <c r="C14" i="28"/>
  <c r="C5" i="28"/>
  <c r="C16" i="28"/>
  <c r="C21" i="28"/>
  <c r="C8" i="28"/>
  <c r="C10" i="28"/>
  <c r="C11" i="28"/>
  <c r="C9" i="28"/>
  <c r="C12" i="28"/>
  <c r="J17" i="28"/>
  <c r="J20" i="28"/>
  <c r="J13" i="28"/>
  <c r="J19" i="28"/>
  <c r="J14" i="28"/>
  <c r="J18" i="28"/>
  <c r="J16" i="28"/>
  <c r="J21" i="28"/>
  <c r="J12" i="28"/>
  <c r="J15" i="28"/>
  <c r="M15" i="28"/>
  <c r="M18" i="28"/>
  <c r="M19" i="28"/>
  <c r="M17" i="28"/>
  <c r="M20" i="28"/>
  <c r="M16" i="28"/>
  <c r="M21" i="28"/>
  <c r="P21" i="28"/>
  <c r="P18" i="28"/>
  <c r="P19" i="28"/>
  <c r="P20" i="28"/>
  <c r="H16" i="28"/>
  <c r="H21" i="28"/>
  <c r="H10" i="28"/>
  <c r="H11" i="28"/>
  <c r="H20" i="28"/>
  <c r="H12" i="28"/>
  <c r="H17" i="28"/>
  <c r="H14" i="28"/>
  <c r="H15" i="28"/>
  <c r="H13" i="28"/>
  <c r="H18" i="28"/>
  <c r="H19" i="28"/>
  <c r="F9" i="28"/>
  <c r="F12" i="28"/>
  <c r="F15" i="28"/>
  <c r="F8" i="28"/>
  <c r="F13" i="28"/>
  <c r="F21" i="28"/>
  <c r="F11" i="28"/>
  <c r="F18" i="28"/>
  <c r="F19" i="28"/>
  <c r="F17" i="28"/>
  <c r="F20" i="28"/>
  <c r="F16" i="28"/>
  <c r="F14" i="28"/>
  <c r="F10" i="28"/>
  <c r="F37" i="28" l="1"/>
  <c r="F29" i="28"/>
  <c r="H35" i="28"/>
  <c r="H37" i="28"/>
  <c r="C30" i="28"/>
  <c r="B30" i="28"/>
  <c r="O38" i="28"/>
  <c r="G30" i="28"/>
  <c r="K35" i="28"/>
  <c r="E31" i="28"/>
  <c r="Q40" i="28"/>
  <c r="I33" i="28"/>
  <c r="M38" i="28"/>
  <c r="C28" i="28"/>
  <c r="B35" i="28"/>
  <c r="G37" i="28"/>
  <c r="E40" i="28"/>
  <c r="F40" i="28"/>
  <c r="F30" i="28"/>
  <c r="P40" i="28"/>
  <c r="M40" i="28"/>
  <c r="J39" i="28"/>
  <c r="C32" i="28"/>
  <c r="C34" i="28"/>
  <c r="D32" i="28"/>
  <c r="D28" i="28"/>
  <c r="D29" i="28"/>
  <c r="B40" i="28"/>
  <c r="B28" i="28"/>
  <c r="N40" i="28"/>
  <c r="L41" i="28"/>
  <c r="O40" i="28"/>
  <c r="G40" i="28"/>
  <c r="G32" i="28"/>
  <c r="K41" i="28"/>
  <c r="E42" i="28"/>
  <c r="E39" i="28"/>
  <c r="Q41" i="28"/>
  <c r="I41" i="28"/>
  <c r="F33" i="28"/>
  <c r="D34" i="28"/>
  <c r="F39" i="28"/>
  <c r="H40" i="28"/>
  <c r="H41" i="28"/>
  <c r="P39" i="28"/>
  <c r="M39" i="28"/>
  <c r="J35" i="28"/>
  <c r="C31" i="28"/>
  <c r="C36" i="28"/>
  <c r="D31" i="28"/>
  <c r="D27" i="28"/>
  <c r="B39" i="28"/>
  <c r="B29" i="28"/>
  <c r="B41" i="28"/>
  <c r="N39" i="28"/>
  <c r="L38" i="28"/>
  <c r="O39" i="28"/>
  <c r="G39" i="28"/>
  <c r="G31" i="28"/>
  <c r="K38" i="28"/>
  <c r="E37" i="28"/>
  <c r="E30" i="28"/>
  <c r="Q42" i="28"/>
  <c r="I38" i="28"/>
  <c r="H33" i="28"/>
  <c r="C39" i="28"/>
  <c r="L35" i="28"/>
  <c r="H39" i="28"/>
  <c r="M36" i="28"/>
  <c r="C41" i="28"/>
  <c r="D30" i="28"/>
  <c r="B32" i="28"/>
  <c r="B38" i="28"/>
  <c r="L40" i="28"/>
  <c r="G42" i="28"/>
  <c r="K34" i="28"/>
  <c r="K40" i="28"/>
  <c r="E35" i="28"/>
  <c r="E34" i="28"/>
  <c r="I32" i="28"/>
  <c r="F32" i="28"/>
  <c r="H32" i="28"/>
  <c r="J40" i="28"/>
  <c r="C29" i="28"/>
  <c r="D41" i="28"/>
  <c r="F35" i="28"/>
  <c r="F42" i="28"/>
  <c r="H34" i="28"/>
  <c r="H31" i="28"/>
  <c r="M42" i="28"/>
  <c r="J36" i="28"/>
  <c r="J34" i="28"/>
  <c r="C42" i="28"/>
  <c r="C38" i="28"/>
  <c r="D42" i="28"/>
  <c r="D38" i="28"/>
  <c r="B36" i="28"/>
  <c r="B31" i="28"/>
  <c r="K26" i="28"/>
  <c r="N30" i="28"/>
  <c r="J25" i="28"/>
  <c r="J28" i="28"/>
  <c r="M35" i="28"/>
  <c r="M31" i="28"/>
  <c r="S38" i="28"/>
  <c r="S35" i="28"/>
  <c r="K31" i="28"/>
  <c r="S27" i="28"/>
  <c r="F26" i="28"/>
  <c r="N26" i="28"/>
  <c r="G28" i="28"/>
  <c r="N25" i="28"/>
  <c r="N31" i="28"/>
  <c r="F27" i="28"/>
  <c r="P37" i="28"/>
  <c r="O31" i="28"/>
  <c r="S36" i="28"/>
  <c r="J27" i="28"/>
  <c r="P38" i="28"/>
  <c r="N27" i="28"/>
  <c r="P36" i="28"/>
  <c r="S39" i="28"/>
  <c r="P26" i="28"/>
  <c r="Q37" i="28"/>
  <c r="R38" i="28"/>
  <c r="M27" i="28"/>
  <c r="K27" i="28"/>
  <c r="H25" i="28"/>
  <c r="Q35" i="28"/>
  <c r="Q31" i="28"/>
  <c r="Q27" i="28"/>
  <c r="O37" i="28"/>
  <c r="L33" i="28"/>
  <c r="L29" i="28"/>
  <c r="F25" i="28"/>
  <c r="P30" i="28"/>
  <c r="R26" i="28"/>
  <c r="R33" i="28"/>
  <c r="Q28" i="28"/>
  <c r="L26" i="28"/>
  <c r="J31" i="28"/>
  <c r="S31" i="28"/>
  <c r="B25" i="28"/>
  <c r="Q34" i="28"/>
  <c r="O34" i="28"/>
  <c r="O30" i="28"/>
  <c r="E27" i="28"/>
  <c r="M30" i="28"/>
  <c r="P32" i="28"/>
  <c r="R39" i="28"/>
  <c r="I31" i="28"/>
  <c r="I27" i="28"/>
  <c r="P28" i="28"/>
  <c r="S41" i="28"/>
  <c r="N28" i="28"/>
  <c r="N35" i="28"/>
  <c r="H30" i="28"/>
  <c r="J26" i="28"/>
  <c r="P35" i="28"/>
  <c r="S29" i="28"/>
  <c r="K25" i="28"/>
  <c r="H28" i="28"/>
  <c r="G25" i="28"/>
  <c r="L27" i="28"/>
  <c r="M32" i="28"/>
  <c r="K28" i="28"/>
  <c r="S40" i="28"/>
  <c r="R34" i="28"/>
  <c r="S37" i="28"/>
  <c r="G27" i="28"/>
  <c r="N33" i="28"/>
  <c r="R35" i="28"/>
  <c r="R36" i="28"/>
  <c r="Q26" i="28"/>
  <c r="R37" i="28"/>
  <c r="M34" i="28"/>
  <c r="O26" i="28"/>
  <c r="R31" i="28"/>
  <c r="S34" i="28"/>
  <c r="S30" i="28"/>
  <c r="M26" i="28"/>
  <c r="R27" i="28"/>
  <c r="N36" i="28"/>
  <c r="N32" i="28"/>
  <c r="F28" i="28"/>
  <c r="O27" i="28"/>
  <c r="R29" i="28"/>
  <c r="L25" i="28"/>
  <c r="O25" i="28"/>
  <c r="P25" i="28"/>
  <c r="K29" i="28"/>
  <c r="Q32" i="28"/>
  <c r="M33" i="28"/>
  <c r="R30" i="28"/>
  <c r="R28" i="28"/>
  <c r="K32" i="28"/>
  <c r="I28" i="28"/>
  <c r="O32" i="28"/>
  <c r="Q30" i="28"/>
  <c r="E25" i="28"/>
  <c r="P33" i="28"/>
  <c r="H29" i="28"/>
  <c r="N34" i="28"/>
  <c r="O35" i="28"/>
  <c r="Q33" i="28"/>
  <c r="Q29" i="28"/>
  <c r="I26" i="28"/>
  <c r="O33" i="28"/>
  <c r="O29" i="28"/>
  <c r="G26" i="28"/>
  <c r="L30" i="28"/>
  <c r="Q38" i="28"/>
  <c r="K30" i="28"/>
  <c r="E26" i="28"/>
  <c r="R40" i="28"/>
  <c r="P31" i="28"/>
  <c r="P27" i="28"/>
  <c r="P34" i="28"/>
  <c r="J29" i="28"/>
  <c r="M29" i="28"/>
  <c r="P29" i="28"/>
  <c r="L31" i="28"/>
  <c r="S32" i="28"/>
  <c r="Q36" i="28"/>
  <c r="L28" i="28"/>
  <c r="M28" i="28"/>
  <c r="R32" i="28"/>
  <c r="H26" i="28"/>
  <c r="M25" i="28"/>
  <c r="C25" i="28"/>
  <c r="O36" i="28"/>
  <c r="J30" i="28"/>
  <c r="J32" i="28"/>
  <c r="R25" i="28"/>
  <c r="K33" i="28"/>
  <c r="D25" i="28"/>
  <c r="L34" i="28"/>
  <c r="I30" i="28"/>
  <c r="I29" i="28"/>
  <c r="S25" i="28"/>
  <c r="G29" i="28"/>
  <c r="Q25" i="28"/>
  <c r="N29" i="28"/>
  <c r="Q39" i="28"/>
  <c r="H27" i="28"/>
  <c r="S33" i="28"/>
  <c r="S28" i="28"/>
  <c r="I25" i="28"/>
  <c r="L32" i="28"/>
  <c r="S26" i="28"/>
  <c r="O28" i="28"/>
  <c r="D26" i="28"/>
  <c r="N42" i="28"/>
  <c r="L39" i="28"/>
  <c r="O42" i="28"/>
  <c r="G34" i="28"/>
  <c r="K39" i="28"/>
  <c r="E28" i="28"/>
  <c r="E29" i="28"/>
  <c r="I34" i="28"/>
  <c r="F38" i="28"/>
  <c r="J37" i="28"/>
  <c r="D35" i="28"/>
  <c r="N38" i="28"/>
  <c r="F31" i="28"/>
  <c r="P42" i="28"/>
  <c r="F34" i="28"/>
  <c r="H36" i="28"/>
  <c r="H42" i="28"/>
  <c r="M37" i="28"/>
  <c r="J33" i="28"/>
  <c r="J41" i="28"/>
  <c r="C37" i="28"/>
  <c r="D37" i="28"/>
  <c r="D36" i="28"/>
  <c r="B27" i="28"/>
  <c r="B42" i="28"/>
  <c r="S42" i="28"/>
  <c r="N37" i="28"/>
  <c r="L36" i="28"/>
  <c r="G35" i="28"/>
  <c r="K36" i="28"/>
  <c r="E33" i="28"/>
  <c r="E32" i="28"/>
  <c r="I40" i="28"/>
  <c r="I42" i="28"/>
  <c r="J38" i="28"/>
  <c r="C26" i="28"/>
  <c r="C27" i="28"/>
  <c r="D40" i="28"/>
  <c r="B34" i="28"/>
  <c r="B37" i="28"/>
  <c r="L42" i="28"/>
  <c r="G41" i="28"/>
  <c r="G36" i="28"/>
  <c r="K42" i="28"/>
  <c r="R42" i="28"/>
  <c r="E41" i="28"/>
  <c r="E36" i="28"/>
  <c r="I36" i="28"/>
  <c r="I37" i="28"/>
  <c r="F41" i="28"/>
  <c r="F36" i="28"/>
  <c r="H38" i="28"/>
  <c r="P41" i="28"/>
  <c r="M41" i="28"/>
  <c r="J42" i="28"/>
  <c r="C33" i="28"/>
  <c r="C35" i="28"/>
  <c r="C40" i="28"/>
  <c r="D33" i="28"/>
  <c r="D39" i="28"/>
  <c r="B33" i="28"/>
  <c r="B26" i="28"/>
  <c r="N41" i="28"/>
  <c r="L37" i="28"/>
  <c r="O41" i="28"/>
  <c r="G38" i="28"/>
  <c r="G33" i="28"/>
  <c r="K37" i="28"/>
  <c r="R41" i="28"/>
  <c r="E38" i="28"/>
  <c r="I39" i="28"/>
  <c r="I35" i="28"/>
  <c r="A48" i="28" l="1"/>
  <c r="B48" i="28"/>
  <c r="B45" i="28"/>
  <c r="A45" i="28"/>
  <c r="E445" i="28" l="1"/>
  <c r="G443" i="28" s="1"/>
  <c r="E446" i="28"/>
  <c r="G446" i="28" s="1"/>
</calcChain>
</file>

<file path=xl/sharedStrings.xml><?xml version="1.0" encoding="utf-8"?>
<sst xmlns="http://schemas.openxmlformats.org/spreadsheetml/2006/main" count="1848" uniqueCount="905">
  <si>
    <t xml:space="preserve">Date: </t>
  </si>
  <si>
    <t>Index</t>
  </si>
  <si>
    <t>All usual residents</t>
  </si>
  <si>
    <t>Males</t>
  </si>
  <si>
    <t>Females</t>
  </si>
  <si>
    <t>Age 0 - 4</t>
  </si>
  <si>
    <t>Age 5 - 9</t>
  </si>
  <si>
    <t>Age 10 - 14</t>
  </si>
  <si>
    <t>Age 20 - 24</t>
  </si>
  <si>
    <t>Age 25 - 29</t>
  </si>
  <si>
    <t>Age 30 - 34</t>
  </si>
  <si>
    <t>Age 35 - 39</t>
  </si>
  <si>
    <t>Age 40 - 44</t>
  </si>
  <si>
    <t>Age 45 - 49</t>
  </si>
  <si>
    <t>Age 50 - 54</t>
  </si>
  <si>
    <t>Age 55 - 59</t>
  </si>
  <si>
    <t>Age 60 - 64</t>
  </si>
  <si>
    <t>Age 65 - 69</t>
  </si>
  <si>
    <t>Age 70 - 74</t>
  </si>
  <si>
    <t>Age 75 - 79</t>
  </si>
  <si>
    <t>Age 80 - 84</t>
  </si>
  <si>
    <t>Managers, directors and senior officials</t>
  </si>
  <si>
    <t>Professional occupations</t>
  </si>
  <si>
    <t>Associate professional and technical occupations</t>
  </si>
  <si>
    <t>Administrative and secretarial occupations</t>
  </si>
  <si>
    <t>Skilled trades occupations</t>
  </si>
  <si>
    <t>Caring, leisure and other service occupations</t>
  </si>
  <si>
    <t>Sales and customer service occupations</t>
  </si>
  <si>
    <t>Process, plant and machine operatives</t>
  </si>
  <si>
    <t>Elementary occupations</t>
  </si>
  <si>
    <t>All usual residents aged 16 and over</t>
  </si>
  <si>
    <t>No qualifications</t>
  </si>
  <si>
    <t>Other qualifications</t>
  </si>
  <si>
    <t>White</t>
  </si>
  <si>
    <t>Day-to-day activities limited a lot</t>
  </si>
  <si>
    <t>Day-to-day activities limited a little</t>
  </si>
  <si>
    <t>Daily Express</t>
  </si>
  <si>
    <t>Daily Mail</t>
  </si>
  <si>
    <t>Daily Mirror</t>
  </si>
  <si>
    <t>Daily Record</t>
  </si>
  <si>
    <t>Daily Star</t>
  </si>
  <si>
    <t>Daily Telegraph</t>
  </si>
  <si>
    <t>i (newspaper)</t>
  </si>
  <si>
    <t>The Guardian</t>
  </si>
  <si>
    <t>The Sun</t>
  </si>
  <si>
    <t>The Times</t>
  </si>
  <si>
    <t>Commuterland Culturebuffs</t>
  </si>
  <si>
    <t>Metroculturals</t>
  </si>
  <si>
    <t>Experience Seekers</t>
  </si>
  <si>
    <t>Dormitory Dependables</t>
  </si>
  <si>
    <t>Trips &amp; Treats</t>
  </si>
  <si>
    <t>Home &amp; Heritage</t>
  </si>
  <si>
    <t>Up Our Street</t>
  </si>
  <si>
    <t>Kaleidoscope Creativity</t>
  </si>
  <si>
    <t>Unclassified</t>
  </si>
  <si>
    <t>A City Prosperity</t>
  </si>
  <si>
    <t>B Prestige Positions</t>
  </si>
  <si>
    <t>C Country Living</t>
  </si>
  <si>
    <t>D Rural Reality</t>
  </si>
  <si>
    <t>E Senior Security</t>
  </si>
  <si>
    <t>F Suburban Stability</t>
  </si>
  <si>
    <t>G Domestic Success</t>
  </si>
  <si>
    <t>H Aspiring Homemakers</t>
  </si>
  <si>
    <t>I Family Basics</t>
  </si>
  <si>
    <t>J Transient Renters</t>
  </si>
  <si>
    <t>K Municipal Tenants</t>
  </si>
  <si>
    <t>L Vintage Value</t>
  </si>
  <si>
    <t>M Modest Traditions</t>
  </si>
  <si>
    <t>N Urban Cohesion</t>
  </si>
  <si>
    <t>O Rental Hubs</t>
  </si>
  <si>
    <t>How to read the tables</t>
  </si>
  <si>
    <t>Audience Spectrum profile</t>
  </si>
  <si>
    <t>Audience Spectrum segment</t>
  </si>
  <si>
    <t>Count</t>
  </si>
  <si>
    <t>%</t>
  </si>
  <si>
    <t>Mosaic group profile</t>
  </si>
  <si>
    <t>Mosaic group</t>
  </si>
  <si>
    <t>Attended in past 12 months</t>
  </si>
  <si>
    <t>Art galleries</t>
  </si>
  <si>
    <t>Art gallery once a month or more</t>
  </si>
  <si>
    <t>Ballet</t>
  </si>
  <si>
    <t>Classical concerts</t>
  </si>
  <si>
    <t>Comedy shows</t>
  </si>
  <si>
    <t>Contemporary dance</t>
  </si>
  <si>
    <t>Jazz concerts</t>
  </si>
  <si>
    <t>Opera</t>
  </si>
  <si>
    <t>Plays</t>
  </si>
  <si>
    <t>Popular/rock concert</t>
  </si>
  <si>
    <t>Theatre</t>
  </si>
  <si>
    <t>Theatre once a month or more</t>
  </si>
  <si>
    <t>Visited in past 12 months</t>
  </si>
  <si>
    <t>Cinema visits</t>
  </si>
  <si>
    <t>Ever go to the cinema</t>
  </si>
  <si>
    <t>Go every two or three months</t>
  </si>
  <si>
    <t>Go once or more a month</t>
  </si>
  <si>
    <t>Never go</t>
  </si>
  <si>
    <t>Age structure</t>
  </si>
  <si>
    <t>Age group</t>
  </si>
  <si>
    <t>85+</t>
  </si>
  <si>
    <t>Other</t>
  </si>
  <si>
    <t>Long-term health problem or disability</t>
  </si>
  <si>
    <t>Household family status</t>
  </si>
  <si>
    <t>Economic activity</t>
  </si>
  <si>
    <t>Economically active</t>
  </si>
  <si>
    <t>Unemployed</t>
  </si>
  <si>
    <t>Occupation</t>
  </si>
  <si>
    <t>Occupation type</t>
  </si>
  <si>
    <t>Economically inactive</t>
  </si>
  <si>
    <t>Retired</t>
  </si>
  <si>
    <t>Student (including full-time students)</t>
  </si>
  <si>
    <t>Looking after home or family</t>
  </si>
  <si>
    <t>Long-term sick or disabled</t>
  </si>
  <si>
    <t>Highest qualification level</t>
  </si>
  <si>
    <t>Highest qualification achieved</t>
  </si>
  <si>
    <r>
      <t xml:space="preserve">Level 1 </t>
    </r>
    <r>
      <rPr>
        <i/>
        <sz val="10"/>
        <color theme="1"/>
        <rFont val="Trebuchet MS"/>
        <family val="2"/>
      </rPr>
      <t>(e.g. GCSEs graded D-G, Foundation diploma)</t>
    </r>
  </si>
  <si>
    <r>
      <t xml:space="preserve">Level 2 </t>
    </r>
    <r>
      <rPr>
        <i/>
        <sz val="10"/>
        <color theme="1"/>
        <rFont val="Trebuchet MS"/>
        <family val="2"/>
      </rPr>
      <t>(e.g. GCSEs graded A*-C, Higher diploma)</t>
    </r>
  </si>
  <si>
    <t>Apprenticeship</t>
  </si>
  <si>
    <r>
      <t xml:space="preserve">Level 3 </t>
    </r>
    <r>
      <rPr>
        <i/>
        <sz val="10"/>
        <color theme="1"/>
        <rFont val="Trebuchet MS"/>
        <family val="2"/>
      </rPr>
      <t>(e.g. AS and A Levels, Advanced and Progression diploma)</t>
    </r>
  </si>
  <si>
    <r>
      <t xml:space="preserve">Level 4 and above </t>
    </r>
    <r>
      <rPr>
        <i/>
        <sz val="10"/>
        <color theme="1"/>
        <rFont val="Trebuchet MS"/>
        <family val="2"/>
      </rPr>
      <t>(e.g. Higher Education and Higher diplomas)</t>
    </r>
  </si>
  <si>
    <t>National newspapers looked at yesterday (dailies)</t>
  </si>
  <si>
    <t>Daily newspapers read</t>
  </si>
  <si>
    <t>This report is based on mapping and profiling tools provided by Experian.</t>
  </si>
  <si>
    <t>The information contained within this report is not intended to be used as the sole basis for any business decision, and is based upon data which is provided by third parties, the accuracy and/or completeness of which it would not be possible and/or economically viable for Experian to guarantee.  Experian’s services also involve models and techniques based on statistical analysis, probability and predictive behaviour.  Accordingly, Experian is not able to accept any liability for any inaccuracy, incompleteness or other error in this report.</t>
  </si>
  <si>
    <t>Target Area:</t>
  </si>
  <si>
    <t xml:space="preserve">Base Area: </t>
  </si>
  <si>
    <t>Your target area</t>
  </si>
  <si>
    <t>Audience Spectrum</t>
  </si>
  <si>
    <t>Audience Spectrum is a population profiling tool which describes attendance, participation and engagement with the arts, museums and heritage, as well as behaviours, attitudes and preferences towards such organisations.  It has been built to meet the needs of small and large scale, ticketed and non-ticketed organisations from across the cultural sector.</t>
  </si>
  <si>
    <r>
      <t xml:space="preserve">To find out more and to view the pen portraits for each segment visit: </t>
    </r>
    <r>
      <rPr>
        <i/>
        <sz val="11"/>
        <color theme="7"/>
        <rFont val="Calibri"/>
        <family val="2"/>
        <scheme val="minor"/>
      </rPr>
      <t>www.</t>
    </r>
    <r>
      <rPr>
        <i/>
        <sz val="11"/>
        <color theme="7"/>
        <rFont val="Calibri"/>
        <family val="2"/>
        <scheme val="minor"/>
      </rPr>
      <t>theaudienceagency.org/audience-spectrum</t>
    </r>
  </si>
  <si>
    <t>Mosaic</t>
  </si>
  <si>
    <t>Mosaic is a geo-demographic profiling tool which combines a wide range of information from over 400 sources to create a summary of the likely characteristics of each UK household.  Households are assigned to a ‘group’, of which there are 15 in Mosaic, which describes their socio-economic and cultural behaviour.</t>
  </si>
  <si>
    <t>Further information</t>
  </si>
  <si>
    <t>Audience Spectrum and Mosaic profile</t>
  </si>
  <si>
    <t>-</t>
  </si>
  <si>
    <t>Arts attendance</t>
  </si>
  <si>
    <t>N/A</t>
  </si>
  <si>
    <t>Population and households</t>
  </si>
  <si>
    <t>Age 85+</t>
  </si>
  <si>
    <t>Ethnic group</t>
  </si>
  <si>
    <t>Ethnic group - overview</t>
  </si>
  <si>
    <t>For more information about the classifications given above, please see the Ofqual website:</t>
  </si>
  <si>
    <t>www.ofqual.gov.uk/qualifications-and-assessments/qualification-frameworks/levels-of-qualifications/</t>
  </si>
  <si>
    <t>0 to 4</t>
  </si>
  <si>
    <t>No dependent children in household</t>
  </si>
  <si>
    <t>Segments</t>
  </si>
  <si>
    <t>Subsegments</t>
  </si>
  <si>
    <t>Metroculturals M1</t>
  </si>
  <si>
    <t>Commuterland Culturebuffs C1</t>
  </si>
  <si>
    <t>Experience Seekers E1</t>
  </si>
  <si>
    <t>Dormitory Dependables D1</t>
  </si>
  <si>
    <t>Trips &amp; Treats T1</t>
  </si>
  <si>
    <t>Trips &amp; Treats T2</t>
  </si>
  <si>
    <t>Dormitory Dependables D2</t>
  </si>
  <si>
    <t>Experience Seekers E2</t>
  </si>
  <si>
    <t>Metroculturals M2</t>
  </si>
  <si>
    <t>Commuterland Culturebuffs C2</t>
  </si>
  <si>
    <t>Home &amp; Heritage H1</t>
  </si>
  <si>
    <t>Home &amp; Heritage H2</t>
  </si>
  <si>
    <t>Up Our Street U1</t>
  </si>
  <si>
    <t>Up Our Street U2</t>
  </si>
  <si>
    <t>Frontline Families F1</t>
  </si>
  <si>
    <t>Frontline Families F2</t>
  </si>
  <si>
    <t>Kaleidoscope Creativity K1</t>
  </si>
  <si>
    <t>Kaleidoscope Creativity K2</t>
  </si>
  <si>
    <t>Supported Communities S1</t>
  </si>
  <si>
    <t>Supported Communities S2</t>
  </si>
  <si>
    <t>Frontline Families</t>
  </si>
  <si>
    <t>Supported Communities</t>
  </si>
  <si>
    <t>Audience Spectrum subsegment</t>
  </si>
  <si>
    <t>•   Are in employment (full time, part time, or self-employed)</t>
  </si>
  <si>
    <t>•   Are not in employment but seeking work and ready to start within two weeks</t>
  </si>
  <si>
    <t>•   Are not in employment but waiting to start a job already attained and available</t>
  </si>
  <si>
    <t>Full-time students who fulfil any of these criteria are classified as economically active, and are counted separately in the “Full-time student” category of economically active.</t>
  </si>
  <si>
    <t>Full-time students are not included in any of the other categories such as employees or unemployed.</t>
  </si>
  <si>
    <r>
      <t>People are considered "</t>
    </r>
    <r>
      <rPr>
        <b/>
        <sz val="10"/>
        <color theme="1"/>
        <rFont val="Trebuchet MS"/>
        <family val="2"/>
      </rPr>
      <t>Economically active</t>
    </r>
    <r>
      <rPr>
        <sz val="10"/>
        <color theme="1"/>
        <rFont val="Trebuchet MS"/>
        <family val="2"/>
      </rPr>
      <t>" if they are aged 16 or older and:</t>
    </r>
  </si>
  <si>
    <t>•   People looking for work but not available to start work within two weeks</t>
  </si>
  <si>
    <t>•   People not looking for work</t>
  </si>
  <si>
    <t>•   People unable to work</t>
  </si>
  <si>
    <t>This includes people who are retired, looking after home/family, permanently sick or unable to work due to a disability.</t>
  </si>
  <si>
    <t>Students who fulfil any of these criteria are also classified as economically inactive. This does not necessarily mean they were in full-time education and excludes students who were working or in some other way economically active</t>
  </si>
  <si>
    <t>Adults 15+</t>
  </si>
  <si>
    <t>Dependent children in household</t>
  </si>
  <si>
    <t>Households</t>
  </si>
  <si>
    <t>Age 15 - 19</t>
  </si>
  <si>
    <t>Asian, Asian British or Asian Welsh</t>
  </si>
  <si>
    <t>Black, Black British, Black Welsh, Caribbean or African</t>
  </si>
  <si>
    <t>Mixed or Multiple ethnic groups</t>
  </si>
  <si>
    <t>Other ethnic group</t>
  </si>
  <si>
    <t>Asian: Bangladeshi</t>
  </si>
  <si>
    <t>Asian: Chinese</t>
  </si>
  <si>
    <t>Asian: Indian</t>
  </si>
  <si>
    <t>Asian: Pakistani</t>
  </si>
  <si>
    <t>Asian: Other Asian</t>
  </si>
  <si>
    <t>Black: African</t>
  </si>
  <si>
    <t>Black: Caribbean</t>
  </si>
  <si>
    <t>Black: Other Black</t>
  </si>
  <si>
    <t>Mixed: White and Black African</t>
  </si>
  <si>
    <t>Mixed: White and Black Caribbean</t>
  </si>
  <si>
    <t>Mixed: Other Mixed or Multiple ethnic groups</t>
  </si>
  <si>
    <t>White: Irish</t>
  </si>
  <si>
    <t>White: Gypsy or Irish Traveller</t>
  </si>
  <si>
    <t>White: Roma</t>
  </si>
  <si>
    <t>White: Other White</t>
  </si>
  <si>
    <t>Other ethnic group: Arab</t>
  </si>
  <si>
    <t>Other ethnic group: Any other ethnic group</t>
  </si>
  <si>
    <t>Has long term physical or mental health condition but day-to-day activities are not limited</t>
  </si>
  <si>
    <t>No long term physical or mental health conditions</t>
  </si>
  <si>
    <t>All households</t>
  </si>
  <si>
    <t>National Statistics Socio-economic Classification (NS-SEC)</t>
  </si>
  <si>
    <t>All usual residents aged 16 or over</t>
  </si>
  <si>
    <t>L1, L2 and L3 Higher managerial, administrative and professional occupations</t>
  </si>
  <si>
    <t>L4, L5 and L6 Lower managerial, administrative and professional occupations</t>
  </si>
  <si>
    <t>L7 Intermediate occupations</t>
  </si>
  <si>
    <t>L8 and L9 Small employers and own account workers</t>
  </si>
  <si>
    <t>L10 and L11 Lower supervisory and technical occupations</t>
  </si>
  <si>
    <t>L12 Semi-routine occupations</t>
  </si>
  <si>
    <t>L13 Routine occupations</t>
  </si>
  <si>
    <t>L14.1 and L14.2 Never worked and long-term unemployed</t>
  </si>
  <si>
    <t>L15 Full-time students</t>
  </si>
  <si>
    <t>Employment status</t>
  </si>
  <si>
    <t>Employed full-time</t>
  </si>
  <si>
    <t>Employed part-time</t>
  </si>
  <si>
    <r>
      <t>People are considered "</t>
    </r>
    <r>
      <rPr>
        <b/>
        <sz val="10"/>
        <color theme="1"/>
        <rFont val="Trebuchet MS"/>
        <family val="2"/>
      </rPr>
      <t>Economically inactive</t>
    </r>
    <r>
      <rPr>
        <sz val="10"/>
        <color theme="1"/>
        <rFont val="Trebuchet MS"/>
        <family val="2"/>
      </rPr>
      <t>" if they are aged 16 or older and not in employment but do not meet the criteria to be classified as “Unemployed". This includes:</t>
    </r>
  </si>
  <si>
    <t>All usual residents aged 16 years and over in employment the week before the census</t>
  </si>
  <si>
    <t>Overview</t>
  </si>
  <si>
    <t>Ethnic group - full categories</t>
  </si>
  <si>
    <t>General health</t>
  </si>
  <si>
    <t>Very good health</t>
  </si>
  <si>
    <t>Good health</t>
  </si>
  <si>
    <t>Fair health</t>
  </si>
  <si>
    <t>Bad health</t>
  </si>
  <si>
    <t>Very bad health</t>
  </si>
  <si>
    <t>Provision of unpaid care</t>
  </si>
  <si>
    <t>Provides no unpaid care</t>
  </si>
  <si>
    <t>Provides 19 hours or less unpaid care a week</t>
  </si>
  <si>
    <t>Provides 9 hours or less unpaid care a week</t>
  </si>
  <si>
    <t>Provides 10 to 19 hours unpaid care a week</t>
  </si>
  <si>
    <t>Provides 20 to 49 hours unpaid care a week</t>
  </si>
  <si>
    <t>Provides 20 to 34 hours unpaid care a week</t>
  </si>
  <si>
    <t>Provides 35 to 49 hours unpaid care a week</t>
  </si>
  <si>
    <t>Provides 50 or more hours unpaid care a week</t>
  </si>
  <si>
    <t>Country of birth</t>
  </si>
  <si>
    <t>Born in the UK</t>
  </si>
  <si>
    <t>Arrived 1951-1960</t>
  </si>
  <si>
    <t>Arrived 1961-1970</t>
  </si>
  <si>
    <t>Arrived 1971-1980</t>
  </si>
  <si>
    <t>Arrived 1981-1990</t>
  </si>
  <si>
    <t>Arrived 1991-2000</t>
  </si>
  <si>
    <t>0 to 4 years</t>
  </si>
  <si>
    <t>10 to 14 years</t>
  </si>
  <si>
    <t>20 to 24 years</t>
  </si>
  <si>
    <t>25 to 29 years</t>
  </si>
  <si>
    <t>30 to 44 years</t>
  </si>
  <si>
    <t>45 to 59 years</t>
  </si>
  <si>
    <t>60 to 64 years</t>
  </si>
  <si>
    <t>65 to 74 years</t>
  </si>
  <si>
    <t>75 to 84 years</t>
  </si>
  <si>
    <t>Less than 2 years</t>
  </si>
  <si>
    <t>10 years or more</t>
  </si>
  <si>
    <t>All usual residents aged 3 and over</t>
  </si>
  <si>
    <t>Religion</t>
  </si>
  <si>
    <t>Christian</t>
  </si>
  <si>
    <t>Buddhist</t>
  </si>
  <si>
    <t>Hindu</t>
  </si>
  <si>
    <t>Jewish</t>
  </si>
  <si>
    <t>Muslim</t>
  </si>
  <si>
    <t>Sikh</t>
  </si>
  <si>
    <t>Other religion</t>
  </si>
  <si>
    <t>No religion</t>
  </si>
  <si>
    <t>Africa (All)</t>
  </si>
  <si>
    <t>Middle East and Asia (All)</t>
  </si>
  <si>
    <t>The Americas and the Caribbean (All)</t>
  </si>
  <si>
    <t>Antarctica and Oceania (including Australasia) (All)</t>
  </si>
  <si>
    <t>British Overseas (All)</t>
  </si>
  <si>
    <t>Non-EU countries</t>
  </si>
  <si>
    <t>EU countries</t>
  </si>
  <si>
    <t>European Union EU14</t>
  </si>
  <si>
    <t>European Union EU8</t>
  </si>
  <si>
    <t>European Union EU2</t>
  </si>
  <si>
    <t>All other EU countries</t>
  </si>
  <si>
    <t>Arrived before 1951</t>
  </si>
  <si>
    <t>Arrived 2001-2010</t>
  </si>
  <si>
    <t>Arrived 2011 to 2013</t>
  </si>
  <si>
    <t>Arrived 2014 to 2016</t>
  </si>
  <si>
    <t>Arrived 2017 to 2019</t>
  </si>
  <si>
    <t>Arrived 2020 to 2021</t>
  </si>
  <si>
    <t>5 to 9 years</t>
  </si>
  <si>
    <t>15 to 19 years</t>
  </si>
  <si>
    <t>85 years or over</t>
  </si>
  <si>
    <t>Age of arrival in UK</t>
  </si>
  <si>
    <t>Year of arrival in UK</t>
  </si>
  <si>
    <t>5 years or more, but less than 10 years</t>
  </si>
  <si>
    <t>2 years or more, but less than 5 years</t>
  </si>
  <si>
    <t>Household is not deprived in any dimension</t>
  </si>
  <si>
    <t>Household is deprived in 1 dimension</t>
  </si>
  <si>
    <t>Household is deprived in 2 dimensions</t>
  </si>
  <si>
    <t>Household is deprived in 3 dimensions</t>
  </si>
  <si>
    <t>Household is deprived in 4 dimensions</t>
  </si>
  <si>
    <t>•   Employment: any member of a household not a full-time student is either unemployed or long-term sick.</t>
  </si>
  <si>
    <t>16-18 is a fulltime student.</t>
  </si>
  <si>
    <t>•   Health and disability: any person in the household has general health 'bad or very bad' or has a long term health problem.</t>
  </si>
  <si>
    <t>•   Housing: Household's accommodation is ether overcrowded, with an occupancy rating -1 or less, or is in a shared dwelling,</t>
  </si>
  <si>
    <t>or has no central heating.</t>
  </si>
  <si>
    <t>Household deprivation</t>
  </si>
  <si>
    <t>The dimensions of deprivation used to classify households are indicators based on four selected household characteristics. A household is deprived in a dimension if they meet one or more of the following conditions:</t>
  </si>
  <si>
    <t>•   Education: no person in the household has at least level 2 education (see highest level of qualification), and no person aged</t>
  </si>
  <si>
    <t>Welsh language</t>
  </si>
  <si>
    <r>
      <t>Welsh language skills</t>
    </r>
    <r>
      <rPr>
        <sz val="10"/>
        <color theme="0"/>
        <rFont val="Trebuchet MS"/>
        <family val="2"/>
      </rPr>
      <t xml:space="preserve"> (Wales only)</t>
    </r>
  </si>
  <si>
    <t>Can understand spoken Welsh only</t>
  </si>
  <si>
    <t>Can speak, read and write Welsh</t>
  </si>
  <si>
    <t>Can speak but cannot read or write Welsh</t>
  </si>
  <si>
    <t>Can speak and read but cannot write Welsh</t>
  </si>
  <si>
    <t>Can read but cannot speak or write Welsh</t>
  </si>
  <si>
    <t>Can write but cannot speak or read Welsh</t>
  </si>
  <si>
    <t>Can read and write but cannot speak Welsh</t>
  </si>
  <si>
    <t>Can speak and other combinations of skill</t>
  </si>
  <si>
    <t>No skills in Welsh</t>
  </si>
  <si>
    <r>
      <t xml:space="preserve">Proficiency in English </t>
    </r>
    <r>
      <rPr>
        <sz val="10"/>
        <color theme="0"/>
        <rFont val="Trebuchet MS"/>
        <family val="2"/>
      </rPr>
      <t>(English/Welsh in Wales)</t>
    </r>
  </si>
  <si>
    <t>Cannot speak Welsh</t>
  </si>
  <si>
    <t>Can speak Welsh</t>
  </si>
  <si>
    <r>
      <t>Welsh speaking, writing, reading, and understanding ability</t>
    </r>
    <r>
      <rPr>
        <sz val="10"/>
        <color theme="0"/>
        <rFont val="Trebuchet MS"/>
        <family val="2"/>
      </rPr>
      <t xml:space="preserve"> (Wales only)</t>
    </r>
  </si>
  <si>
    <t>Cannot write Welsh</t>
  </si>
  <si>
    <t>Can write Welsh</t>
  </si>
  <si>
    <t>Cannot read Welsh</t>
  </si>
  <si>
    <t>Can read Welsh</t>
  </si>
  <si>
    <t>Cannot understand spoken Welsh</t>
  </si>
  <si>
    <t>Can understand spoken Welsh</t>
  </si>
  <si>
    <t>Never worked and long-term unemployed</t>
  </si>
  <si>
    <t>1. Higher managerial, administrative and professional occupations</t>
  </si>
  <si>
    <t>2. Intermediate occupations</t>
  </si>
  <si>
    <t>3. Routine and manual occupations</t>
  </si>
  <si>
    <t>Full-time students</t>
  </si>
  <si>
    <t>NS-SEC (Operational categories)</t>
  </si>
  <si>
    <t>NS-SEC (three analytic classes)</t>
  </si>
  <si>
    <t>4</t>
  </si>
  <si>
    <t>9</t>
  </si>
  <si>
    <t>14</t>
  </si>
  <si>
    <t>19</t>
  </si>
  <si>
    <t>24</t>
  </si>
  <si>
    <t>29</t>
  </si>
  <si>
    <t>34</t>
  </si>
  <si>
    <t>39</t>
  </si>
  <si>
    <t>44</t>
  </si>
  <si>
    <t>49</t>
  </si>
  <si>
    <t>54</t>
  </si>
  <si>
    <t>59</t>
  </si>
  <si>
    <t>64</t>
  </si>
  <si>
    <t>69</t>
  </si>
  <si>
    <t>74</t>
  </si>
  <si>
    <t>79</t>
  </si>
  <si>
    <t>84</t>
  </si>
  <si>
    <t>0</t>
  </si>
  <si>
    <t>5</t>
  </si>
  <si>
    <t>10</t>
  </si>
  <si>
    <t>15</t>
  </si>
  <si>
    <t>20</t>
  </si>
  <si>
    <t>25</t>
  </si>
  <si>
    <t>30</t>
  </si>
  <si>
    <t>40</t>
  </si>
  <si>
    <t>45</t>
  </si>
  <si>
    <t>50</t>
  </si>
  <si>
    <t>55</t>
  </si>
  <si>
    <t>60</t>
  </si>
  <si>
    <t>65</t>
  </si>
  <si>
    <t>70</t>
  </si>
  <si>
    <t>75</t>
  </si>
  <si>
    <t>80</t>
  </si>
  <si>
    <t>Target</t>
  </si>
  <si>
    <t>Base</t>
  </si>
  <si>
    <t>From</t>
  </si>
  <si>
    <t>To</t>
  </si>
  <si>
    <t>Over-represented range</t>
  </si>
  <si>
    <t>Under-represented range</t>
  </si>
  <si>
    <t>Number of disabled people in household</t>
  </si>
  <si>
    <t>No people disabled under the Equality Act in household</t>
  </si>
  <si>
    <t>1 person disabled under the Equality Act in household</t>
  </si>
  <si>
    <t>2 or more people disabled under the Equality Act in household</t>
  </si>
  <si>
    <t>Source: 2021 Census Data: England and Wales - ONS. Licenced under the Open Government Licence v2.0. Crown Copyright</t>
  </si>
  <si>
    <t>All usual residents who chose to answer the question</t>
  </si>
  <si>
    <t>Antarctica and Oceania (including Australasia)</t>
  </si>
  <si>
    <t>British Overseas Territories</t>
  </si>
  <si>
    <t>United Kingdom</t>
  </si>
  <si>
    <t>Europe</t>
  </si>
  <si>
    <t>non-EU European countries</t>
  </si>
  <si>
    <t>the Middle East and Asia</t>
  </si>
  <si>
    <t>the Americas and the Caribbean</t>
  </si>
  <si>
    <t>Of those born overseas</t>
  </si>
  <si>
    <t>Total</t>
  </si>
  <si>
    <t>1 car or van in household</t>
  </si>
  <si>
    <t>2 cars or vans in household</t>
  </si>
  <si>
    <t>No cars or vans in household</t>
  </si>
  <si>
    <t>All usual residents in households</t>
  </si>
  <si>
    <t>Education</t>
  </si>
  <si>
    <t>Daily Star Sunday</t>
  </si>
  <si>
    <t>Sunday Mail (Scotland)</t>
  </si>
  <si>
    <t>Sunday People</t>
  </si>
  <si>
    <t>Sunday Post (Scotland)</t>
  </si>
  <si>
    <t>The Mail on Sunday</t>
  </si>
  <si>
    <t>The Observer</t>
  </si>
  <si>
    <t>The Sun on Sunday</t>
  </si>
  <si>
    <t>The Sunday Express</t>
  </si>
  <si>
    <t>The Sunday Mirror</t>
  </si>
  <si>
    <t>The Sunday Telegraph</t>
  </si>
  <si>
    <t>The Sunday Times</t>
  </si>
  <si>
    <t>Visited archaeological sites</t>
  </si>
  <si>
    <t>Visited flower shows and gardens</t>
  </si>
  <si>
    <t>Visited museums</t>
  </si>
  <si>
    <t>Visited nature reserve</t>
  </si>
  <si>
    <t>Visited safari parks</t>
  </si>
  <si>
    <t>Visited stately homes/castles</t>
  </si>
  <si>
    <t>Visited UK theme parks</t>
  </si>
  <si>
    <t>Visited zoos</t>
  </si>
  <si>
    <t>Musicals</t>
  </si>
  <si>
    <t>National newspapers looked at last week (Sunday)</t>
  </si>
  <si>
    <t>Sunday newspapers read</t>
  </si>
  <si>
    <t>Totals and percentages do not include unclassified postcodes.</t>
  </si>
  <si>
    <t>Industry of employment</t>
  </si>
  <si>
    <t>A: Agriculture, Forestry and fishing</t>
  </si>
  <si>
    <t>B: Mining and quarrying</t>
  </si>
  <si>
    <t>C: Manufacturing</t>
  </si>
  <si>
    <t>F: Construction</t>
  </si>
  <si>
    <t>H: Transport and storage</t>
  </si>
  <si>
    <t>I: Accommodation and food service activities</t>
  </si>
  <si>
    <t>J: Information and communication</t>
  </si>
  <si>
    <t>K: Financial and insurance activities</t>
  </si>
  <si>
    <t>L: Real estate activities</t>
  </si>
  <si>
    <t>P: Education</t>
  </si>
  <si>
    <t>Q: Human health and social work activities</t>
  </si>
  <si>
    <t>R: Libraries, archives, museums and other cultural activities</t>
  </si>
  <si>
    <t>S: Other service activities</t>
  </si>
  <si>
    <t>T: Activities of households as employers; undifferentiated goods-and services-producing activities of households for own use</t>
  </si>
  <si>
    <t>R: Other entertainment and recreation activities</t>
  </si>
  <si>
    <t>R: Creative, arts and entertainment activities</t>
  </si>
  <si>
    <t>Target area</t>
  </si>
  <si>
    <t>Base area</t>
  </si>
  <si>
    <t>Sexual orientation</t>
  </si>
  <si>
    <t>Straight or Heterosexual</t>
  </si>
  <si>
    <t>Gay or Lesbian</t>
  </si>
  <si>
    <t>Bisexual</t>
  </si>
  <si>
    <t>All other sexual orientations</t>
  </si>
  <si>
    <t>All usual residents aged 16 years and over</t>
  </si>
  <si>
    <t>Gender identity</t>
  </si>
  <si>
    <t>Trans woman</t>
  </si>
  <si>
    <t>Trans man</t>
  </si>
  <si>
    <t>All other gender identities</t>
  </si>
  <si>
    <t>Gender identity the same as sex registered at birth</t>
  </si>
  <si>
    <t>Census data</t>
  </si>
  <si>
    <t>Building your target and base areas</t>
  </si>
  <si>
    <t>D: Electricity, gas, steam and air conditioning supply</t>
  </si>
  <si>
    <t>E: Water supply; Sewerage, Waste management and Remediation activities</t>
  </si>
  <si>
    <t>G: Wholesale and retail trade; repair of motor vehicles and motorcycles</t>
  </si>
  <si>
    <t>M: Professional, scientific and technical activities</t>
  </si>
  <si>
    <t>N: Administrative and support service activities</t>
  </si>
  <si>
    <t>O: Public administration and defence; compulsory social security</t>
  </si>
  <si>
    <t>Sex</t>
  </si>
  <si>
    <t>Dependent children</t>
  </si>
  <si>
    <t>Core demographics</t>
  </si>
  <si>
    <t>Health and unpaid care</t>
  </si>
  <si>
    <t>Education and employment</t>
  </si>
  <si>
    <t>Census demographics</t>
  </si>
  <si>
    <t>Disability under the Equality Act</t>
  </si>
  <si>
    <t>Sex and Gender</t>
  </si>
  <si>
    <t>Disability in household</t>
  </si>
  <si>
    <t>Unpaid care</t>
  </si>
  <si>
    <t>English language proficiency (or English or Welsh in Wales)</t>
  </si>
  <si>
    <t>Arrival in UK</t>
  </si>
  <si>
    <t>Communal establishments</t>
  </si>
  <si>
    <t>All usual residents in communal establishments</t>
  </si>
  <si>
    <t>Communal establishment management and type</t>
  </si>
  <si>
    <t>Medical and care establishment</t>
  </si>
  <si>
    <t>Other establishment</t>
  </si>
  <si>
    <t>Establishment not stated</t>
  </si>
  <si>
    <t>NHS</t>
  </si>
  <si>
    <t>General hospital</t>
  </si>
  <si>
    <t>Local Authority</t>
  </si>
  <si>
    <t>Mental health hospital or unit (including secure units)</t>
  </si>
  <si>
    <t>Other hospital</t>
  </si>
  <si>
    <t>Children's home (including secure units)</t>
  </si>
  <si>
    <t>Care home with nursing</t>
  </si>
  <si>
    <t>Care home without nursing</t>
  </si>
  <si>
    <t>Other home</t>
  </si>
  <si>
    <t>Registered Social Landlord or Housing Association</t>
  </si>
  <si>
    <t>Home or hostel</t>
  </si>
  <si>
    <t>Defence</t>
  </si>
  <si>
    <t>Prison service</t>
  </si>
  <si>
    <t>Approved premises (probation or bail hostel)</t>
  </si>
  <si>
    <t>Detention centres and other detention</t>
  </si>
  <si>
    <t>Hotel, guest house, B&amp;B or youth hostel</t>
  </si>
  <si>
    <t>Hostel or temporary shelter for the homeless</t>
  </si>
  <si>
    <t>Holiday accommodation</t>
  </si>
  <si>
    <t>Other travel or temporary accommodation</t>
  </si>
  <si>
    <t>Religious</t>
  </si>
  <si>
    <t>Staff or worker accommodation or Other</t>
  </si>
  <si>
    <t>Car or van availability</t>
  </si>
  <si>
    <t>3 or more cars or vans in household</t>
  </si>
  <si>
    <t>Tenure</t>
  </si>
  <si>
    <t>Owned</t>
  </si>
  <si>
    <t>Shared ownership</t>
  </si>
  <si>
    <t>Social rented</t>
  </si>
  <si>
    <t>Private rented</t>
  </si>
  <si>
    <t>Lives rent free</t>
  </si>
  <si>
    <t>Housing tenure</t>
  </si>
  <si>
    <t>Students</t>
  </si>
  <si>
    <t>Schoolchildren and full-time students</t>
  </si>
  <si>
    <t>Student</t>
  </si>
  <si>
    <t>Not a student</t>
  </si>
  <si>
    <t>All usual residents aged 5 years and over</t>
  </si>
  <si>
    <t>Full-time further or higher education (estimate)</t>
  </si>
  <si>
    <t>5 to 11</t>
  </si>
  <si>
    <t>12 to 16</t>
  </si>
  <si>
    <t>Remainder</t>
  </si>
  <si>
    <t>Age (by year, MSOA)</t>
  </si>
  <si>
    <t>All students</t>
  </si>
  <si>
    <t>Not students</t>
  </si>
  <si>
    <t>Sum</t>
  </si>
  <si>
    <t>% of pop</t>
  </si>
  <si>
    <t>% of 5+ pop</t>
  </si>
  <si>
    <t>Primary age (estimate)</t>
  </si>
  <si>
    <t>Secondary age (estimate)</t>
  </si>
  <si>
    <t>Primary age and secondary age estimates based on single-year age categories as a proportion of the population aged 5 or older, with 5 to 11 taken as primary age and 12 to 16 as secondary age. Full-time further or higher education (estimate) is taken from the difference between all schoolchildren/full-time students and the sum of the primary and secondary age estimates.</t>
  </si>
  <si>
    <t>Mixed: White and Asian</t>
  </si>
  <si>
    <t>All usual residents aged 3 years and over</t>
  </si>
  <si>
    <t>2023 Experian Ltd</t>
  </si>
  <si>
    <t>Europe (All, not including UK)</t>
  </si>
  <si>
    <t>Households by deprivation dimensions</t>
  </si>
  <si>
    <t>Length of residence in the UK</t>
  </si>
  <si>
    <t>Segmentation</t>
  </si>
  <si>
    <t>Population</t>
  </si>
  <si>
    <t>White: English, Welsh, Scottish, Northern Irish or British</t>
  </si>
  <si>
    <t>Activities taken part in</t>
  </si>
  <si>
    <t>Taken part in past 12 months</t>
  </si>
  <si>
    <t>Aerobics/keep fit</t>
  </si>
  <si>
    <t>Amateur Dramatics/Dance</t>
  </si>
  <si>
    <t>Baking</t>
  </si>
  <si>
    <t>Bingo (in a club)</t>
  </si>
  <si>
    <t>Bird watching</t>
  </si>
  <si>
    <t>Camping</t>
  </si>
  <si>
    <t>Climbing/mountaineering</t>
  </si>
  <si>
    <t>Coding</t>
  </si>
  <si>
    <t>Collections/Collecting Items</t>
  </si>
  <si>
    <t>Computing/Technology</t>
  </si>
  <si>
    <t>Cooking</t>
  </si>
  <si>
    <t>Crossword/Sudoku type Puzzles</t>
  </si>
  <si>
    <t>Dance classes</t>
  </si>
  <si>
    <t>Drawing/painting/sculpting</t>
  </si>
  <si>
    <t>Family History/Genealogy</t>
  </si>
  <si>
    <t>Gardening</t>
  </si>
  <si>
    <t>Horse riding</t>
  </si>
  <si>
    <t>Model Making</t>
  </si>
  <si>
    <t>Photography</t>
  </si>
  <si>
    <t>Placing a bet</t>
  </si>
  <si>
    <t>Playing a musical Instrument</t>
  </si>
  <si>
    <t>Poker</t>
  </si>
  <si>
    <t>Quiz nights</t>
  </si>
  <si>
    <t>Sewing/Knitting</t>
  </si>
  <si>
    <t>Singing</t>
  </si>
  <si>
    <t>Ten-pin bowling</t>
  </si>
  <si>
    <t>Walking/hiking/rambling</t>
  </si>
  <si>
    <t>Weight training/Weight machines</t>
  </si>
  <si>
    <t>Woodworking</t>
  </si>
  <si>
    <t>Working on motor vehicles/mechanics</t>
  </si>
  <si>
    <t>Yoga</t>
  </si>
  <si>
    <t>Museums, heritage, and outings</t>
  </si>
  <si>
    <t>Sports taken part in</t>
  </si>
  <si>
    <t>American Football</t>
  </si>
  <si>
    <t>Athletics</t>
  </si>
  <si>
    <t>Badminton</t>
  </si>
  <si>
    <t>Baseball</t>
  </si>
  <si>
    <t>Basketball</t>
  </si>
  <si>
    <t>Bowls</t>
  </si>
  <si>
    <t>Boxing</t>
  </si>
  <si>
    <t>Canoeing/Kayaking</t>
  </si>
  <si>
    <t>Cricket</t>
  </si>
  <si>
    <t>Cycling</t>
  </si>
  <si>
    <t>Darts</t>
  </si>
  <si>
    <t>Fishing</t>
  </si>
  <si>
    <t>Golf</t>
  </si>
  <si>
    <t>Gymnastics</t>
  </si>
  <si>
    <t>Hockey</t>
  </si>
  <si>
    <t>Ice Hockey</t>
  </si>
  <si>
    <t>Ice skating</t>
  </si>
  <si>
    <t>Jogging/Running</t>
  </si>
  <si>
    <t>Marathon/long distance running</t>
  </si>
  <si>
    <t>Martial Arts/Mixed Martial Arts</t>
  </si>
  <si>
    <t>Mountain biking</t>
  </si>
  <si>
    <t>Netball</t>
  </si>
  <si>
    <t>Pilates</t>
  </si>
  <si>
    <t>Pool</t>
  </si>
  <si>
    <t>Roller Skating/Roller Blading</t>
  </si>
  <si>
    <t>Rowing</t>
  </si>
  <si>
    <t>Rugby League</t>
  </si>
  <si>
    <t>Rugby Union</t>
  </si>
  <si>
    <t>Sailing/motor boating</t>
  </si>
  <si>
    <t>Scuba Diving</t>
  </si>
  <si>
    <t>Show jumping</t>
  </si>
  <si>
    <t>Skateboarding</t>
  </si>
  <si>
    <t>Skiing</t>
  </si>
  <si>
    <t>Snooker</t>
  </si>
  <si>
    <t>Snowboarding</t>
  </si>
  <si>
    <t>Squash</t>
  </si>
  <si>
    <t>Surfing</t>
  </si>
  <si>
    <t>Swimming</t>
  </si>
  <si>
    <t>Table tennis</t>
  </si>
  <si>
    <t>Tennis</t>
  </si>
  <si>
    <t>Using Cardio vascular machines</t>
  </si>
  <si>
    <t>Volleyball</t>
  </si>
  <si>
    <t>LMSE Media</t>
  </si>
  <si>
    <t>LMSE Leisure</t>
  </si>
  <si>
    <t>Going to a casino</t>
  </si>
  <si>
    <t>Playing board games</t>
  </si>
  <si>
    <t>Football</t>
  </si>
  <si>
    <t>Motor sport</t>
  </si>
  <si>
    <t>Local Market Size Estimates</t>
  </si>
  <si>
    <t>Local Market Size Estimate (LMSE) data</t>
  </si>
  <si>
    <r>
      <t xml:space="preserve">Data about arts, culture and heritage activity, outings and other leisure activities, sports participation and media consumption is sourced from the BMRB Target Group Index survey and modelled to describe the likely characteristics of the adult population of your specific target and base area. Whilst the TGI survey covers a representative sample of the UK population, the figures on the LMSE tab should be taken as being indicative of </t>
    </r>
    <r>
      <rPr>
        <i/>
        <sz val="10"/>
        <color theme="1"/>
        <rFont val="Trebuchet MS"/>
        <family val="2"/>
      </rPr>
      <t>likely</t>
    </r>
    <r>
      <rPr>
        <sz val="10"/>
        <color theme="1"/>
        <rFont val="Trebuchet MS"/>
        <family val="2"/>
      </rPr>
      <t xml:space="preserve"> levels of activity in your target and base areas rather than a describing </t>
    </r>
    <r>
      <rPr>
        <i/>
        <sz val="10"/>
        <color theme="1"/>
        <rFont val="Trebuchet MS"/>
        <family val="2"/>
      </rPr>
      <t>actual</t>
    </r>
    <r>
      <rPr>
        <sz val="10"/>
        <color theme="1"/>
        <rFont val="Trebuchet MS"/>
        <family val="2"/>
      </rPr>
      <t xml:space="preserve"> instances of attendance of activity.</t>
    </r>
  </si>
  <si>
    <t>The Office for National Statistics (ONS) publish census data at various levels of granularity, for example Output Area (which covers an average of 131 households), Medium Super Output Area (an average of around 3,400 households), Ward (an average of around 3,200 households), Local Authority and region. This report uses the most granular level available for each variable, to match your exact target and base areas as closely as possible.</t>
  </si>
  <si>
    <t>Care home</t>
  </si>
  <si>
    <t>Defence establishment</t>
  </si>
  <si>
    <t>Education establishment</t>
  </si>
  <si>
    <t>Other type or not stated</t>
  </si>
  <si>
    <t>Target area:</t>
  </si>
  <si>
    <t>Base area:</t>
  </si>
  <si>
    <t>Level 1</t>
  </si>
  <si>
    <t>Level 2</t>
  </si>
  <si>
    <t>Level 3</t>
  </si>
  <si>
    <t>Level 4 and above</t>
  </si>
  <si>
    <t>Industry of employment (top 10 in target area)</t>
  </si>
  <si>
    <t>Communal establishment management and type (top 3)</t>
  </si>
  <si>
    <t>Hospital or mental health unit</t>
  </si>
  <si>
    <t>hospitals or metal health units</t>
  </si>
  <si>
    <t>Other care establishment</t>
  </si>
  <si>
    <t>defence establishments</t>
  </si>
  <si>
    <t>prison service establishments</t>
  </si>
  <si>
    <t>hotels, guest houses, B&amp;Bs or youth hostels</t>
  </si>
  <si>
    <t>hostels or temporary shelter for the homeless</t>
  </si>
  <si>
    <t>care establishments (e.g. children's homes, homes or hostels provided by social landlords or housing associations, or other care establishments provided by Local Authorities)</t>
  </si>
  <si>
    <t>This table repeats the categories above, but changes the wording to be suitable for the summary</t>
  </si>
  <si>
    <t>This table groups establishments together for the summary and chart</t>
  </si>
  <si>
    <t>This pulls out top 10 industries of employment, for chart and summary</t>
  </si>
  <si>
    <t>Country of birth (reduced)</t>
  </si>
  <si>
    <t>Year of arrival</t>
  </si>
  <si>
    <t>This table pulls out the top three types of establishment, for the summary</t>
  </si>
  <si>
    <t>care homes (either with or without nursing)</t>
  </si>
  <si>
    <t>education establishments (including university accommodation and boarding schools)</t>
  </si>
  <si>
    <t>This table pulls out the top five ethnic groups, for the summary</t>
  </si>
  <si>
    <t>Ethnic group - full categories (top 5)</t>
  </si>
  <si>
    <t>Bangladeshi</t>
  </si>
  <si>
    <t>Chinese</t>
  </si>
  <si>
    <t>Indian</t>
  </si>
  <si>
    <t>Pakistani</t>
  </si>
  <si>
    <t>Black African</t>
  </si>
  <si>
    <t>Black Caribbean</t>
  </si>
  <si>
    <t>Mixed White and Asian</t>
  </si>
  <si>
    <t>Mixed White and Black African</t>
  </si>
  <si>
    <t>Mixed White and Black Caribbean</t>
  </si>
  <si>
    <t>Other Mixed or Multiple ethnic groups</t>
  </si>
  <si>
    <t>White English, Welsh, Scottish, Northern Irish or British</t>
  </si>
  <si>
    <t>White Irish</t>
  </si>
  <si>
    <t>Gypsy or Irish Traveller</t>
  </si>
  <si>
    <t>Roma</t>
  </si>
  <si>
    <t>Other White ethnic groups</t>
  </si>
  <si>
    <t>Other Black ethnic groups</t>
  </si>
  <si>
    <t>Other Asian ethnic groups</t>
  </si>
  <si>
    <t>Arab</t>
  </si>
  <si>
    <t>LMSE</t>
  </si>
  <si>
    <t>Population Profile Report Plus</t>
  </si>
  <si>
    <t>National identity</t>
  </si>
  <si>
    <t>National identity (detailed)</t>
  </si>
  <si>
    <t>UK</t>
  </si>
  <si>
    <t>UK: British only</t>
  </si>
  <si>
    <t>UK: English only</t>
  </si>
  <si>
    <t>UK: English and British only</t>
  </si>
  <si>
    <t>UK: Welsh only</t>
  </si>
  <si>
    <t>UK: Welsh and British only</t>
  </si>
  <si>
    <t>UK: Scottish only</t>
  </si>
  <si>
    <t>UK: Scottish and British only</t>
  </si>
  <si>
    <t>UK: Northern Irish only</t>
  </si>
  <si>
    <t>UK: Northern Irish and British only</t>
  </si>
  <si>
    <t>UK: Cornish only</t>
  </si>
  <si>
    <t>UK: Cornish and British only</t>
  </si>
  <si>
    <t>UK: Any other combination (UK only)</t>
  </si>
  <si>
    <t>UK: Other and at least one UK</t>
  </si>
  <si>
    <t>Other: Guernsey Islander</t>
  </si>
  <si>
    <t>Other: Jersey Islander</t>
  </si>
  <si>
    <t>Other: Isle of Man (Manx)</t>
  </si>
  <si>
    <t>Other: Channel Islander</t>
  </si>
  <si>
    <t>Other: Irish only</t>
  </si>
  <si>
    <t>Other: European</t>
  </si>
  <si>
    <t>Other: European: EU Countries</t>
  </si>
  <si>
    <t>Other: European: EU: French</t>
  </si>
  <si>
    <t>Other: European: EU: German</t>
  </si>
  <si>
    <t>Other: European: EU: Italian</t>
  </si>
  <si>
    <t>Other: European: EU: Portuguese</t>
  </si>
  <si>
    <t>Other: European: EU: Spanish inc Canary Islander</t>
  </si>
  <si>
    <t>Other: European: EU: Other EU as March 2001</t>
  </si>
  <si>
    <t>Other: European: EU: Lithuanian</t>
  </si>
  <si>
    <t>Other: European: EU: Polish</t>
  </si>
  <si>
    <t>Other: European: EU: Romanian</t>
  </si>
  <si>
    <t>Other: European: EU: Other</t>
  </si>
  <si>
    <t>Other: European: Non-EU</t>
  </si>
  <si>
    <t>Other: European: Non-EU: Turkish</t>
  </si>
  <si>
    <t>Other: European: Non-EU: Other</t>
  </si>
  <si>
    <t>Other: African</t>
  </si>
  <si>
    <t>Other: African: North African</t>
  </si>
  <si>
    <t>Other: African: Central and Western African</t>
  </si>
  <si>
    <t>Other: African: C and W African: Ghanaian</t>
  </si>
  <si>
    <t>Other: African: C and W African: Nigerian</t>
  </si>
  <si>
    <t>Other: African: C and W African: Other</t>
  </si>
  <si>
    <t>Other: African: South and Eastern African</t>
  </si>
  <si>
    <t>Other: African: S and E African: Kenyan</t>
  </si>
  <si>
    <t>Other: African: S and E African: Somali</t>
  </si>
  <si>
    <t>Other: African: S and E African: South African</t>
  </si>
  <si>
    <t>Other: African: S and E African: Zimbabwean</t>
  </si>
  <si>
    <t>Other: African: S and E African: Other</t>
  </si>
  <si>
    <t>Other: Middle Eastern and Asian</t>
  </si>
  <si>
    <t>Other: ME and Asian: Middle Eastern</t>
  </si>
  <si>
    <t>Other: ME and Asian: ME: Kurdish</t>
  </si>
  <si>
    <t>Other: ME and Asian: ME: Iranian</t>
  </si>
  <si>
    <t>Other: ME and Asian: ME: Iraqi</t>
  </si>
  <si>
    <t>Other: ME and Asian: ME: Other</t>
  </si>
  <si>
    <t>Other: ME and Asian: Eastern Asian</t>
  </si>
  <si>
    <t>Other: ME and Asian: E Asian: Chinese</t>
  </si>
  <si>
    <t>Other: ME and Asian: E Asian: Hong Kong Chinese</t>
  </si>
  <si>
    <t>Other: ME and Asian: E Asian: Japanese</t>
  </si>
  <si>
    <t>Other: ME and Asian: E Asian: Other</t>
  </si>
  <si>
    <t>Other: ME and Asian: Southern Asian</t>
  </si>
  <si>
    <t>Other: ME and Asian: S Asian: Afghan</t>
  </si>
  <si>
    <t>Other: ME and Asian: S Asian: Bangladeshi</t>
  </si>
  <si>
    <t>Other: ME and Asian: S Asian: Indian</t>
  </si>
  <si>
    <t>Other: ME and Asian: S Asian: Pakistani</t>
  </si>
  <si>
    <t>Other: ME and Asian: S Asian: Sri Lankan</t>
  </si>
  <si>
    <t>Other: ME and Asian: S Asian: Other</t>
  </si>
  <si>
    <t>Other: ME and Asian: South-East Asian</t>
  </si>
  <si>
    <t>Other: ME and Asian: SE Asian: Filipino</t>
  </si>
  <si>
    <t>Other: ME and Asian: SE Asian: Malaysian</t>
  </si>
  <si>
    <t>Other: ME and Asian: SE Asian: Singaporean</t>
  </si>
  <si>
    <t>Other: ME and Asian: SE Asian: Other</t>
  </si>
  <si>
    <t>Other: ME and Asian: Central Asian</t>
  </si>
  <si>
    <t>Other: ME and Asian: Asian not otherwise specified</t>
  </si>
  <si>
    <t>Other: American and Caribbean</t>
  </si>
  <si>
    <t>Other: American and Caribbean: North American</t>
  </si>
  <si>
    <t>Other: American and Caribbean: N American: Canadian</t>
  </si>
  <si>
    <t>Other: American and Caribbean: N American: US Citizen</t>
  </si>
  <si>
    <t>Other: American and Caribbean: N American: Other</t>
  </si>
  <si>
    <t>Other: American and Caribbean: Central American</t>
  </si>
  <si>
    <t>Other: American and Caribbean: South American</t>
  </si>
  <si>
    <t>Other: American and Caribbean: Caribbean</t>
  </si>
  <si>
    <t>Other: American and Caribbean: Caribbean: Jamaican</t>
  </si>
  <si>
    <t>Other: American and Caribbean: Caribbean: Other</t>
  </si>
  <si>
    <t>Other: Antarctican and Oceanian</t>
  </si>
  <si>
    <t>Other: Antarctican and Oceanian: Australasian</t>
  </si>
  <si>
    <t>Other: Antarctican and Oceanian: Aus: Australian</t>
  </si>
  <si>
    <t>Other: Antarctican and Oceanian: Aus: New Zealander</t>
  </si>
  <si>
    <t>Other: Antarctican and Oceanian: Aus: Other</t>
  </si>
  <si>
    <t>Other: Antarctican and Oceanian: Other Oceanian</t>
  </si>
  <si>
    <t>Other: Other</t>
  </si>
  <si>
    <t>Other: Irish and at least one UK</t>
  </si>
  <si>
    <t>Other national identity</t>
  </si>
  <si>
    <t>Irish only</t>
  </si>
  <si>
    <t>Irish and at least one UK identity</t>
  </si>
  <si>
    <t>French</t>
  </si>
  <si>
    <t>German</t>
  </si>
  <si>
    <t>Italian</t>
  </si>
  <si>
    <t>Portuguese</t>
  </si>
  <si>
    <t>Lithuanian</t>
  </si>
  <si>
    <t>Polish</t>
  </si>
  <si>
    <t>Romanian</t>
  </si>
  <si>
    <t>Turkish</t>
  </si>
  <si>
    <t>Ghanaian</t>
  </si>
  <si>
    <t>Nigerian</t>
  </si>
  <si>
    <t>Kenyan</t>
  </si>
  <si>
    <t>Somali</t>
  </si>
  <si>
    <t>South African</t>
  </si>
  <si>
    <t>Zimbabwean</t>
  </si>
  <si>
    <t>Kurdish</t>
  </si>
  <si>
    <t>Iranian</t>
  </si>
  <si>
    <t>Iraqi</t>
  </si>
  <si>
    <t>Hong Kong Chinese</t>
  </si>
  <si>
    <t>Japanese</t>
  </si>
  <si>
    <t>Afghan</t>
  </si>
  <si>
    <t>Sri Lankan</t>
  </si>
  <si>
    <t>Filipino</t>
  </si>
  <si>
    <t>Malaysian</t>
  </si>
  <si>
    <t>Singaporean</t>
  </si>
  <si>
    <t>Canadian</t>
  </si>
  <si>
    <t>US Citizen</t>
  </si>
  <si>
    <t>Jamaican</t>
  </si>
  <si>
    <t>Australian</t>
  </si>
  <si>
    <t>New Zealander</t>
  </si>
  <si>
    <t>Other national identity not otherwise specified</t>
  </si>
  <si>
    <t>UK national identity only</t>
  </si>
  <si>
    <t>National identity (summarised)</t>
  </si>
  <si>
    <t>UK and another identity</t>
  </si>
  <si>
    <t>Spanish</t>
  </si>
  <si>
    <t>Irish</t>
  </si>
  <si>
    <t>Other Middle Eastern identity</t>
  </si>
  <si>
    <t>Other South and Eastern African identity</t>
  </si>
  <si>
    <t>Other Central and Western African identity</t>
  </si>
  <si>
    <t>Other Eastern Asian identity</t>
  </si>
  <si>
    <t>Other Southern Asian identity</t>
  </si>
  <si>
    <t>Other South-East Asian identity</t>
  </si>
  <si>
    <t>Central Asian identity</t>
  </si>
  <si>
    <t>Asian identity not otherwise specified</t>
  </si>
  <si>
    <t>Other North American identity</t>
  </si>
  <si>
    <t>Central American identity</t>
  </si>
  <si>
    <t>South American identity</t>
  </si>
  <si>
    <t>Other Caribbean identity</t>
  </si>
  <si>
    <t>Other Australasian identity</t>
  </si>
  <si>
    <t>Other Oceanian identity</t>
  </si>
  <si>
    <t>UK and other identity</t>
  </si>
  <si>
    <t>European non-EU nations</t>
  </si>
  <si>
    <t>Central and Western African nations</t>
  </si>
  <si>
    <t>North African nations</t>
  </si>
  <si>
    <t>South and Eastern African nations</t>
  </si>
  <si>
    <t>EU nations</t>
  </si>
  <si>
    <t>Middle Eastern nations</t>
  </si>
  <si>
    <t>Eastern Asian nations</t>
  </si>
  <si>
    <t>Southern Asian nations</t>
  </si>
  <si>
    <t>South-East Asian nations</t>
  </si>
  <si>
    <t>Central Asian nations</t>
  </si>
  <si>
    <t>North American nations</t>
  </si>
  <si>
    <t>Central American nations</t>
  </si>
  <si>
    <t>South American nations</t>
  </si>
  <si>
    <t>Caribbean nations</t>
  </si>
  <si>
    <t>Australasian nations</t>
  </si>
  <si>
    <t>Other Oceanian nations</t>
  </si>
  <si>
    <t>Language, migration and national identity</t>
  </si>
  <si>
    <t>Difference</t>
  </si>
  <si>
    <t>Min/Max range</t>
  </si>
  <si>
    <t>This renames ethnic groups, for the summary</t>
  </si>
  <si>
    <t>This is a table of all the Census fields for national identity</t>
  </si>
  <si>
    <t>Of those with a religion, for summary</t>
  </si>
  <si>
    <t>This simplifies qualification category labels, for chart</t>
  </si>
  <si>
    <t>Top 20 national identities</t>
  </si>
  <si>
    <t>Description for footnote</t>
  </si>
  <si>
    <t>Description of "other" categories</t>
  </si>
  <si>
    <t>National identity (detailed, selected)</t>
  </si>
  <si>
    <t xml:space="preserve">Other Australasian identity: Identities other than Australian or New Zealander. </t>
  </si>
  <si>
    <t xml:space="preserve">Other Caribbean identity: Identity other than Jamaican. </t>
  </si>
  <si>
    <t xml:space="preserve">Other North American identity: Identities other than Canadian or US Citizen. </t>
  </si>
  <si>
    <t xml:space="preserve">Other Central and Western African identity: Identities other than Ghanaian or Nigerian. </t>
  </si>
  <si>
    <t xml:space="preserve">Other South and Eastern African identity: Identities other than Kenyan, Somali, South African or Zimbabwean. </t>
  </si>
  <si>
    <t xml:space="preserve">Other Middle Eastern identity: Identities other than Kurdish, Iranian or Iraqi. </t>
  </si>
  <si>
    <t xml:space="preserve">Other Eastern Asian identity: Identities other than Chinese, Hong Kong Chinese or Japanese. </t>
  </si>
  <si>
    <t xml:space="preserve">Other Southern Asian identity: Identities other than Afghan, Bangladeshi, Indian, Pakistani or Sri Lankan. </t>
  </si>
  <si>
    <t xml:space="preserve">Other South-East Asian identity: Identities other than Filipino, Malaysian or Singaporean. </t>
  </si>
  <si>
    <t>Other pre-2004 EU identity</t>
  </si>
  <si>
    <t>Other post-2004 EU identity</t>
  </si>
  <si>
    <t>EU14: members of the EU prior to 2004 (Austria, Belgium, Denmark, Finland, France, Germany, Greece, Republic of Ireland, Italy, Luxembourg, the Netherlands, Portugal, Spain and Sweden). EU8: Countries who joined the EU in 2004 (Czech Republic, Estonia, Hungary, Latvia, Lithuania, Poland, Slovakia and Slovenia). EU2: Bulgaria and Romania, who joined the EU in 2007. All other EU countries: Croatia, Cyprus and Malta.</t>
  </si>
  <si>
    <t xml:space="preserve">Other post-2004 EU identity: Bulgarian, Croatian, Cypriot, Czech, Estonian, Hungarian, Latvian, Maltese, Slovakian or Slovenian. </t>
  </si>
  <si>
    <t>Other pre-2004 EU identity: Austrian, Belgian, Danish, Dutch, Finnish, Greek, Luxembourgish or Swedish.</t>
  </si>
  <si>
    <t>Other non-EU European identity</t>
  </si>
  <si>
    <t xml:space="preserve">Other non-EU European identity: Identities other than Turkish. </t>
  </si>
  <si>
    <t>National identity (top 20)</t>
  </si>
  <si>
    <t>These tables provides labels for core demographic charts where values are likely to be less than 1%, with such values shown as "&lt;1%" instead of 0%</t>
  </si>
  <si>
    <t>This area calculates the age ranges with the largest positive and negative cumulative differences between individual age bands.</t>
  </si>
  <si>
    <t>This pulls out the categories used in the top 20 analysis and gives them more meaningful names</t>
  </si>
  <si>
    <t>Concatenated relevant descriptions for footnote</t>
  </si>
  <si>
    <t>This area models primary age, secondary age and other students, based on single-year age profile of area MSOAs</t>
  </si>
  <si>
    <t>Approximated social grade</t>
  </si>
  <si>
    <t>C2: Skilled manual occupations</t>
  </si>
  <si>
    <t>DE: Semi-skilled and unskilled manual occupations; unemployed and lowest grade occupations</t>
  </si>
  <si>
    <t>AB: Higher and intermediate managerial/ administrative/professional occupations</t>
  </si>
  <si>
    <t>C1: Supervisory, clerical and junior managerial/ administrative/professional occupations</t>
  </si>
  <si>
    <t>Value</t>
  </si>
  <si>
    <t>Indicator</t>
  </si>
  <si>
    <t>Category</t>
  </si>
  <si>
    <t>Data source:</t>
  </si>
  <si>
    <t>2021 Census Data: England and Wales (Office for National Statistics)</t>
  </si>
  <si>
    <t>Data sources:</t>
  </si>
  <si>
    <t>Audience Spectrum (The Audience Agency) and Mosaic 7 UK (Experian)</t>
  </si>
  <si>
    <t>Local Market Size Estimates (Experian)</t>
  </si>
  <si>
    <t>This report contains data about the population within your target area, compared to the population of the base area.  Your target and base areas are shown on the maps below.</t>
  </si>
  <si>
    <t>The tables show the size of each category within your target area, compared to the size of that category within the base area.</t>
  </si>
  <si>
    <t xml:space="preserve">The index figures show whether each category is over or under represented in your target area compared to the base area. </t>
  </si>
  <si>
    <t>•   An index of 100 occurs when the proportion of a category in your target area exactly matches the size of that category within the base area.</t>
  </si>
  <si>
    <t>•   An index over 100 indicates that this category is over-represented in your target area compared to the base area.</t>
  </si>
  <si>
    <t>•   An index under 100 indicates that this category is under-represented in your target area compared to the base area.</t>
  </si>
  <si>
    <t>•   Indices with a shaded background indicate significant difference between your target area and base area.</t>
  </si>
  <si>
    <r>
      <t xml:space="preserve">-  Indices of 110 or over are highlighted, with the index appearing in </t>
    </r>
    <r>
      <rPr>
        <b/>
        <sz val="11"/>
        <color theme="8"/>
        <rFont val="Calibri"/>
        <family val="2"/>
        <scheme val="minor"/>
      </rPr>
      <t>purple</t>
    </r>
    <r>
      <rPr>
        <sz val="11"/>
        <color theme="1"/>
        <rFont val="Calibri"/>
        <family val="2"/>
        <scheme val="minor"/>
      </rPr>
      <t>.</t>
    </r>
  </si>
  <si>
    <r>
      <t xml:space="preserve">-  Indices of 90 or less are highlighted, with the index appearing in </t>
    </r>
    <r>
      <rPr>
        <b/>
        <sz val="11"/>
        <color theme="5"/>
        <rFont val="Calibri"/>
        <family val="2"/>
        <scheme val="minor"/>
      </rPr>
      <t>orange</t>
    </r>
    <r>
      <rPr>
        <sz val="11"/>
        <color theme="1"/>
        <rFont val="Calibri"/>
        <family val="2"/>
        <scheme val="minor"/>
      </rPr>
      <t>.</t>
    </r>
  </si>
  <si>
    <r>
      <t xml:space="preserve">The figures in  this section of the report are modelled by Experian, based on data from the British Market Research Bureau’s Target Group Index (TGI) survey. Whilst the TGI survey covers a representative sample of the UK population, the figures should be taken as being </t>
    </r>
    <r>
      <rPr>
        <sz val="10"/>
        <color theme="1"/>
        <rFont val="Trebuchet MS"/>
        <family val="2"/>
      </rPr>
      <t>indicative</t>
    </r>
    <r>
      <rPr>
        <i/>
        <sz val="10"/>
        <color theme="1"/>
        <rFont val="Trebuchet MS"/>
        <family val="2"/>
      </rPr>
      <t xml:space="preserve"> of likely levels of activity in your target and base areas rather than a describing </t>
    </r>
    <r>
      <rPr>
        <sz val="10"/>
        <color theme="1"/>
        <rFont val="Trebuchet MS"/>
        <family val="2"/>
      </rPr>
      <t>actual</t>
    </r>
    <r>
      <rPr>
        <i/>
        <sz val="10"/>
        <color theme="1"/>
        <rFont val="Trebuchet MS"/>
        <family val="2"/>
      </rPr>
      <t xml:space="preserve"> instances of attendance or activity.</t>
    </r>
  </si>
  <si>
    <t>Introduction</t>
  </si>
  <si>
    <t>U: Activities of extraterritorial organisations and bodies</t>
  </si>
  <si>
    <t>Adults 15+ estimate 2022</t>
  </si>
  <si>
    <t>Demographic data in this report comes from the 2021 England and Wales census. This data is not currently available for populations in your target or base area which are within Scotland or Northern Ireland.</t>
  </si>
  <si>
    <t>Figures describe people or households within your target area in March 2021, when the census was taken; the exact definition is given in the total row of each table - for example whether the figures relate to the entire population, or just adults. You may notice that the figures on the 'Census demographics' tab differ from the figures on other tabs, where your target or base area is partially or fully within Scotland or Northern Ireland (where this data is not available). You may also notice that total figures for each variable differ from the total households and population figures given in the Population and Households Overview table, and between variables even when they're describing the same population. This variation is a result of census data for small areas being adjusted to ensure anonymity of individuals. For example, if a household was likely to be identified in datasets because it has unusual characteristics it was swapped with a similar one from another nearby area, and in some instances small changes may have been made to counts for example changing a  count of four to a three or a five.</t>
  </si>
  <si>
    <r>
      <t xml:space="preserve">If you have any questions about your Population Profile Report, please contact us: </t>
    </r>
    <r>
      <rPr>
        <i/>
        <sz val="11"/>
        <color theme="7"/>
        <rFont val="Calibri"/>
        <family val="2"/>
        <scheme val="minor"/>
      </rPr>
      <t>research@theaudienceagency.org</t>
    </r>
  </si>
  <si>
    <t>Gender identity different from sex registered at birth (all)</t>
  </si>
  <si>
    <t>Gender identity different from sex registered at birth but no specific identity given</t>
  </si>
  <si>
    <t>15 minute drivetime from CF24 5EN</t>
  </si>
  <si>
    <t>45 minute drivetime from CF24 5EN</t>
  </si>
  <si>
    <t>Target area: 15 minute drivetime from CF24 5EN</t>
  </si>
  <si>
    <t>Base area: 45 minute drivetime from CF24 5EN</t>
  </si>
  <si>
    <t>This question was voluntary on the 2021 Census. The results above do not include people who chose not to answer the question, of which there were 12,814 adults in your target area (7% of residents aged 16 and over) and 58,229 in the base area (6% of residents aged 16 and over).</t>
  </si>
  <si>
    <t>This question was voluntary on the 2021 Census. The results above do not include people who chose not to answer the question, of which there were 15,290 adults in your target area (8% of residents aged 16 and over) and 69,888 in the base area (7% of residents aged 16 and over).</t>
  </si>
  <si>
    <t>This question was voluntary on the 2021 Census. The results above do not include people who chose not to answer the question, of which there were 14,837 adults in your target area (7% of all usual residents) and 73,416 in the base area (6% of all usual residents).</t>
  </si>
  <si>
    <t>Main language is English/Welsh</t>
  </si>
  <si>
    <t>Main language is not English/Welsh</t>
  </si>
  <si>
    <t>Can speak English/Welsh very well</t>
  </si>
  <si>
    <t>Can speak English/Welsh well</t>
  </si>
  <si>
    <t>Cannot speak English/Welsh well</t>
  </si>
  <si>
    <t>Cannot speak English/Welsh</t>
  </si>
  <si>
    <t>Welsh language results only apply to those resident in Wales</t>
  </si>
  <si>
    <t xml:space="preserve">Other post-2004 EU identity: Bulgarian, Croatian, Cypriot, Czech, Estonian, Hungarian, Latvian, Maltese, Slovakian or Slovenian. Other Middle Eastern identity: Identities other than Kurdish, Iranian or Iraqi. Other non-EU European identity: Identities other than Turkish. Other pre-2004 EU identity: Austrian, Belgian, Danish, Dutch, Finnish, Greek, Luxembourgish or Swedish.Other South and Eastern African identity: Identities other than Kenyan, Somali, South African or Zimbabwean.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</si>
</sst>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yyyy"/>
  </numFmts>
  <fonts count="49" x14ac:knownFonts="1">
    <font>
      <sz val="11"/>
      <color theme="1"/>
      <name val="Calibri"/>
      <family val="2"/>
      <scheme val="minor"/>
    </font>
    <font>
      <sz val="10"/>
      <color theme="1"/>
      <name val="Trebuchet MS"/>
      <family val="2"/>
    </font>
    <font>
      <sz val="11"/>
      <color theme="1"/>
      <name val="Calibri"/>
      <family val="2"/>
      <scheme val="minor"/>
    </font>
    <font>
      <sz val="10"/>
      <name val="Arial"/>
      <family val="2"/>
    </font>
    <font>
      <b/>
      <sz val="10"/>
      <color theme="1"/>
      <name val="Trebuchet MS"/>
      <family val="2"/>
    </font>
    <font>
      <b/>
      <sz val="14"/>
      <color theme="1"/>
      <name val="Trebuchet MS"/>
      <family val="2"/>
    </font>
    <font>
      <sz val="14"/>
      <color theme="1"/>
      <name val="Trebuchet MS"/>
      <family val="2"/>
    </font>
    <font>
      <sz val="11"/>
      <color theme="1"/>
      <name val="Trebuchet MS"/>
      <family val="2"/>
    </font>
    <font>
      <b/>
      <sz val="10"/>
      <color theme="0"/>
      <name val="Trebuchet MS"/>
      <family val="2"/>
    </font>
    <font>
      <i/>
      <sz val="8"/>
      <color theme="1"/>
      <name val="Trebuchet MS"/>
      <family val="2"/>
    </font>
    <font>
      <b/>
      <sz val="11"/>
      <color theme="1"/>
      <name val="Trebuchet MS"/>
      <family val="2"/>
    </font>
    <font>
      <i/>
      <sz val="10"/>
      <color theme="1"/>
      <name val="Trebuchet MS"/>
      <family val="2"/>
    </font>
    <font>
      <b/>
      <sz val="11"/>
      <color theme="3"/>
      <name val="Trebuchet MS"/>
      <family val="2"/>
    </font>
    <font>
      <sz val="10"/>
      <color theme="0"/>
      <name val="Trebuchet MS"/>
      <family val="2"/>
    </font>
    <font>
      <sz val="16"/>
      <color theme="3"/>
      <name val="Georgia"/>
      <family val="1"/>
    </font>
    <font>
      <sz val="18"/>
      <color theme="0"/>
      <name val="Georgia"/>
      <family val="1"/>
    </font>
    <font>
      <sz val="11"/>
      <color theme="9"/>
      <name val="Trebuchet MS"/>
      <family val="2"/>
    </font>
    <font>
      <b/>
      <sz val="10"/>
      <color theme="3"/>
      <name val="Trebuchet MS"/>
      <family val="2"/>
    </font>
    <font>
      <sz val="10"/>
      <color theme="3"/>
      <name val="Trebuchet MS"/>
      <family val="2"/>
    </font>
    <font>
      <sz val="10"/>
      <name val="Trebuchet MS"/>
      <family val="2"/>
    </font>
    <font>
      <i/>
      <sz val="6"/>
      <color theme="1"/>
      <name val="Trebuchet MS"/>
      <family val="2"/>
    </font>
    <font>
      <sz val="9"/>
      <color theme="1"/>
      <name val="Trebuchet MS"/>
      <family val="2"/>
    </font>
    <font>
      <b/>
      <sz val="9"/>
      <color theme="1"/>
      <name val="Trebuchet MS"/>
      <family val="2"/>
    </font>
    <font>
      <i/>
      <sz val="11"/>
      <color theme="7"/>
      <name val="Calibri"/>
      <family val="2"/>
      <scheme val="minor"/>
    </font>
    <font>
      <sz val="10"/>
      <color rgb="FFFF0000"/>
      <name val="Trebuchet MS"/>
      <family val="2"/>
    </font>
    <font>
      <sz val="10"/>
      <color theme="1"/>
      <name val="Trebuchet MS"/>
      <family val="2"/>
    </font>
    <font>
      <sz val="10"/>
      <name val="Arial"/>
      <family val="2"/>
    </font>
    <font>
      <sz val="10"/>
      <color theme="4"/>
      <name val="Trebuchet MS"/>
      <family val="2"/>
    </font>
    <font>
      <b/>
      <sz val="10"/>
      <color theme="4"/>
      <name val="Trebuchet MS"/>
      <family val="2"/>
    </font>
    <font>
      <i/>
      <sz val="10"/>
      <color rgb="FFFF0000"/>
      <name val="Trebuchet MS"/>
      <family val="2"/>
    </font>
    <font>
      <sz val="11"/>
      <color rgb="FFFF0000"/>
      <name val="Trebuchet MS"/>
      <family val="2"/>
    </font>
    <font>
      <b/>
      <sz val="10"/>
      <color theme="9"/>
      <name val="Trebuchet MS"/>
      <family val="2"/>
    </font>
    <font>
      <b/>
      <sz val="11"/>
      <color rgb="FFFF0000"/>
      <name val="Trebuchet MS"/>
      <family val="2"/>
    </font>
    <font>
      <sz val="14"/>
      <color rgb="FFFF0000"/>
      <name val="Trebuchet MS"/>
      <family val="2"/>
    </font>
    <font>
      <i/>
      <sz val="9"/>
      <color theme="1"/>
      <name val="Trebuchet MS"/>
      <family val="2"/>
    </font>
    <font>
      <b/>
      <i/>
      <sz val="10"/>
      <color theme="1"/>
      <name val="Trebuchet MS"/>
      <family val="2"/>
    </font>
    <font>
      <i/>
      <sz val="10"/>
      <color theme="4"/>
      <name val="Trebuchet MS"/>
      <family val="2"/>
    </font>
    <font>
      <sz val="10"/>
      <color theme="4"/>
      <name val="Calibri"/>
      <family val="2"/>
      <scheme val="minor"/>
    </font>
    <font>
      <i/>
      <sz val="10"/>
      <color theme="8"/>
      <name val="Trebuchet MS"/>
      <family val="2"/>
    </font>
    <font>
      <b/>
      <sz val="10"/>
      <color theme="4"/>
      <name val="Calibri"/>
      <family val="2"/>
      <scheme val="minor"/>
    </font>
    <font>
      <sz val="10"/>
      <color indexed="8"/>
      <name val="Arial"/>
      <family val="2"/>
    </font>
    <font>
      <sz val="10"/>
      <color indexed="8"/>
      <name val="Trebuchet MS"/>
      <family val="2"/>
    </font>
    <font>
      <b/>
      <sz val="10"/>
      <color indexed="8"/>
      <name val="Trebuchet MS"/>
      <family val="2"/>
    </font>
    <font>
      <b/>
      <i/>
      <sz val="10"/>
      <color theme="4"/>
      <name val="Trebuchet MS"/>
      <family val="2"/>
    </font>
    <font>
      <sz val="10"/>
      <color theme="1" tint="-0.499984740745262"/>
      <name val="Trebuchet MS"/>
      <family val="2"/>
    </font>
    <font>
      <sz val="10"/>
      <color theme="6" tint="-0.499984740745262"/>
      <name val="Trebuchet MS"/>
      <family val="2"/>
    </font>
    <font>
      <i/>
      <sz val="9"/>
      <color theme="7" tint="-0.499984740745262"/>
      <name val="Trebuchet MS"/>
      <family val="2"/>
    </font>
    <font>
      <b/>
      <sz val="11"/>
      <color theme="8"/>
      <name val="Calibri"/>
      <family val="2"/>
      <scheme val="minor"/>
    </font>
    <font>
      <b/>
      <sz val="11"/>
      <color theme="5"/>
      <name val="Calibri"/>
      <family val="2"/>
      <scheme val="minor"/>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bgColor indexed="64"/>
      </patternFill>
    </fill>
    <fill>
      <patternFill patternType="solid">
        <fgColor theme="3" tint="0.79998168889431442"/>
        <bgColor indexed="64"/>
      </patternFill>
    </fill>
  </fills>
  <borders count="77">
    <border>
      <left/>
      <right/>
      <top/>
      <bottom/>
      <diagonal/>
    </border>
    <border>
      <left/>
      <right/>
      <top/>
      <bottom style="thin">
        <color theme="0" tint="-4.9989318521683403E-2"/>
      </bottom>
      <diagonal/>
    </border>
    <border>
      <left/>
      <right/>
      <top style="thin">
        <color theme="0" tint="-4.9989318521683403E-2"/>
      </top>
      <bottom style="thin">
        <color theme="0" tint="-4.9989318521683403E-2"/>
      </bottom>
      <diagonal/>
    </border>
    <border>
      <left/>
      <right/>
      <top style="thin">
        <color theme="0" tint="-4.9989318521683403E-2"/>
      </top>
      <bottom/>
      <diagonal/>
    </border>
    <border>
      <left style="thin">
        <color theme="0" tint="-0.14996795556505021"/>
      </left>
      <right/>
      <top/>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diagonal/>
    </border>
    <border>
      <left style="thin">
        <color theme="0" tint="-0.14996795556505021"/>
      </left>
      <right/>
      <top style="thin">
        <color theme="0"/>
      </top>
      <bottom/>
      <diagonal/>
    </border>
    <border>
      <left/>
      <right style="thin">
        <color theme="0" tint="-0.14996795556505021"/>
      </right>
      <top style="thin">
        <color theme="0"/>
      </top>
      <bottom/>
      <diagonal/>
    </border>
    <border>
      <left style="thin">
        <color theme="0" tint="-0.14996795556505021"/>
      </left>
      <right/>
      <top style="thin">
        <color theme="0" tint="-4.9989318521683403E-2"/>
      </top>
      <bottom style="thin">
        <color theme="0" tint="-4.9989318521683403E-2"/>
      </bottom>
      <diagonal/>
    </border>
    <border>
      <left/>
      <right style="thin">
        <color theme="0" tint="-0.14996795556505021"/>
      </right>
      <top style="thin">
        <color theme="0" tint="-4.9989318521683403E-2"/>
      </top>
      <bottom style="thin">
        <color theme="0" tint="-4.9989318521683403E-2"/>
      </bottom>
      <diagonal/>
    </border>
    <border>
      <left style="thin">
        <color theme="0" tint="-0.14996795556505021"/>
      </left>
      <right style="thin">
        <color theme="0" tint="-4.9989318521683403E-2"/>
      </right>
      <top style="thin">
        <color theme="0"/>
      </top>
      <bottom style="thin">
        <color theme="0" tint="-4.9989318521683403E-2"/>
      </bottom>
      <diagonal/>
    </border>
    <border>
      <left style="thin">
        <color theme="0" tint="-4.9989318521683403E-2"/>
      </left>
      <right style="thin">
        <color theme="0" tint="-0.14996795556505021"/>
      </right>
      <top style="thin">
        <color theme="0"/>
      </top>
      <bottom style="thin">
        <color theme="0" tint="-4.9989318521683403E-2"/>
      </bottom>
      <diagonal/>
    </border>
    <border>
      <left style="thin">
        <color theme="0" tint="-4.9989318521683403E-2"/>
      </left>
      <right style="thin">
        <color theme="0" tint="-0.14996795556505021"/>
      </right>
      <top style="thin">
        <color theme="0" tint="-4.9989318521683403E-2"/>
      </top>
      <bottom style="thin">
        <color theme="0" tint="-4.9989318521683403E-2"/>
      </bottom>
      <diagonal/>
    </border>
    <border>
      <left style="thin">
        <color theme="0" tint="-4.9989318521683403E-2"/>
      </left>
      <right style="thin">
        <color theme="0" tint="-0.14996795556505021"/>
      </right>
      <top style="thin">
        <color theme="0" tint="-4.9989318521683403E-2"/>
      </top>
      <bottom style="thin">
        <color theme="1"/>
      </bottom>
      <diagonal/>
    </border>
    <border>
      <left style="thin">
        <color theme="0" tint="-0.14996795556505021"/>
      </left>
      <right style="thin">
        <color theme="1" tint="0.39994506668294322"/>
      </right>
      <top style="thin">
        <color theme="0" tint="-4.9989318521683403E-2"/>
      </top>
      <bottom style="thin">
        <color theme="1"/>
      </bottom>
      <diagonal/>
    </border>
    <border>
      <left/>
      <right style="thin">
        <color theme="0" tint="-4.9989318521683403E-2"/>
      </right>
      <top style="thin">
        <color theme="0"/>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0.14996795556505021"/>
      </left>
      <right style="thin">
        <color theme="1" tint="0.39994506668294322"/>
      </right>
      <top style="thin">
        <color theme="0" tint="-4.9989318521683403E-2"/>
      </top>
      <bottom style="thin">
        <color theme="0" tint="-4.9989318521683403E-2"/>
      </bottom>
      <diagonal/>
    </border>
    <border>
      <left style="thin">
        <color theme="3" tint="0.59996337778862885"/>
      </left>
      <right/>
      <top/>
      <bottom style="thin">
        <color theme="0"/>
      </bottom>
      <diagonal/>
    </border>
    <border>
      <left style="thin">
        <color theme="3" tint="0.79998168889431442"/>
      </left>
      <right/>
      <top/>
      <bottom style="thin">
        <color theme="0"/>
      </bottom>
      <diagonal/>
    </border>
    <border>
      <left/>
      <right style="thin">
        <color theme="3" tint="0.59996337778862885"/>
      </right>
      <top/>
      <bottom style="thin">
        <color theme="0"/>
      </bottom>
      <diagonal/>
    </border>
    <border>
      <left style="thin">
        <color theme="3" tint="0.59996337778862885"/>
      </left>
      <right/>
      <top/>
      <bottom/>
      <diagonal/>
    </border>
    <border>
      <left style="thin">
        <color theme="0" tint="-0.14996795556505021"/>
      </left>
      <right/>
      <top style="thin">
        <color theme="0" tint="-4.9989318521683403E-2"/>
      </top>
      <bottom/>
      <diagonal/>
    </border>
    <border>
      <left/>
      <right style="thin">
        <color theme="0" tint="-0.14996795556505021"/>
      </right>
      <top style="thin">
        <color theme="0" tint="-4.9989318521683403E-2"/>
      </top>
      <bottom/>
      <diagonal/>
    </border>
    <border>
      <left/>
      <right/>
      <top style="thin">
        <color theme="0"/>
      </top>
      <bottom style="thin">
        <color theme="0" tint="-4.9989318521683403E-2"/>
      </bottom>
      <diagonal/>
    </border>
    <border>
      <left/>
      <right style="thin">
        <color theme="0" tint="-0.14996795556505021"/>
      </right>
      <top style="thin">
        <color theme="0"/>
      </top>
      <bottom style="thin">
        <color theme="0" tint="-4.9989318521683403E-2"/>
      </bottom>
      <diagonal/>
    </border>
    <border>
      <left style="thin">
        <color theme="0" tint="-0.14996795556505021"/>
      </left>
      <right/>
      <top style="thin">
        <color theme="0"/>
      </top>
      <bottom style="thin">
        <color theme="0" tint="-4.9989318521683403E-2"/>
      </bottom>
      <diagonal/>
    </border>
    <border>
      <left/>
      <right style="thin">
        <color theme="0" tint="-0.14996795556505021"/>
      </right>
      <top style="thin">
        <color theme="0" tint="-4.9989318521683403E-2"/>
      </top>
      <bottom style="thin">
        <color theme="1"/>
      </bottom>
      <diagonal/>
    </border>
    <border>
      <left style="thin">
        <color theme="0" tint="-0.14996795556505021"/>
      </left>
      <right/>
      <top style="thin">
        <color theme="0" tint="-4.9989318521683403E-2"/>
      </top>
      <bottom style="thin">
        <color theme="1"/>
      </bottom>
      <diagonal/>
    </border>
    <border>
      <left style="thin">
        <color theme="0" tint="-0.14996795556505021"/>
      </left>
      <right/>
      <top style="thin">
        <color theme="1"/>
      </top>
      <bottom style="thin">
        <color theme="1"/>
      </bottom>
      <diagonal/>
    </border>
    <border>
      <left/>
      <right/>
      <top style="thin">
        <color theme="0" tint="-4.9989318521683403E-2"/>
      </top>
      <bottom style="thin">
        <color theme="1"/>
      </bottom>
      <diagonal/>
    </border>
    <border>
      <left/>
      <right style="thin">
        <color theme="1" tint="0.59996337778862885"/>
      </right>
      <top style="thin">
        <color theme="1"/>
      </top>
      <bottom style="thin">
        <color theme="1"/>
      </bottom>
      <diagonal/>
    </border>
    <border>
      <left style="thin">
        <color theme="1" tint="0.79998168889431442"/>
      </left>
      <right/>
      <top style="thin">
        <color theme="1"/>
      </top>
      <bottom style="thin">
        <color theme="1"/>
      </bottom>
      <diagonal/>
    </border>
    <border>
      <left style="thin">
        <color theme="1" tint="0.59996337778862885"/>
      </left>
      <right/>
      <top style="thin">
        <color theme="1"/>
      </top>
      <bottom style="thin">
        <color theme="1"/>
      </bottom>
      <diagonal/>
    </border>
    <border>
      <left style="thin">
        <color theme="0" tint="-0.14996795556505021"/>
      </left>
      <right/>
      <top/>
      <bottom style="thin">
        <color theme="0" tint="-4.9989318521683403E-2"/>
      </bottom>
      <diagonal/>
    </border>
    <border>
      <left/>
      <right style="thin">
        <color theme="0" tint="-0.14996795556505021"/>
      </right>
      <top/>
      <bottom style="thin">
        <color theme="0" tint="-4.9989318521683403E-2"/>
      </bottom>
      <diagonal/>
    </border>
    <border>
      <left/>
      <right style="thin">
        <color theme="3" tint="0.59996337778862885"/>
      </right>
      <top/>
      <bottom/>
      <diagonal/>
    </border>
    <border>
      <left style="thin">
        <color theme="1" tint="0.39994506668294322"/>
      </left>
      <right/>
      <top style="thin">
        <color theme="0" tint="-4.9989318521683403E-2"/>
      </top>
      <bottom style="thin">
        <color theme="0" tint="-4.9989318521683403E-2"/>
      </bottom>
      <diagonal/>
    </border>
    <border>
      <left style="thin">
        <color theme="1" tint="0.39994506668294322"/>
      </left>
      <right/>
      <top style="thin">
        <color theme="0" tint="-4.9989318521683403E-2"/>
      </top>
      <bottom style="thin">
        <color theme="1"/>
      </bottom>
      <diagonal/>
    </border>
    <border>
      <left style="thin">
        <color theme="0" tint="-0.14996795556505021"/>
      </left>
      <right style="thin">
        <color theme="1" tint="0.39994506668294322"/>
      </right>
      <top style="thin">
        <color theme="0" tint="-4.9989318521683403E-2"/>
      </top>
      <bottom/>
      <diagonal/>
    </border>
    <border>
      <left style="thin">
        <color theme="1" tint="0.39994506668294322"/>
      </left>
      <right/>
      <top style="thin">
        <color theme="0" tint="-4.9989318521683403E-2"/>
      </top>
      <bottom/>
      <diagonal/>
    </border>
    <border>
      <left style="thin">
        <color theme="0" tint="-0.14996795556505021"/>
      </left>
      <right style="thin">
        <color theme="1"/>
      </right>
      <top style="thin">
        <color theme="0" tint="-4.9989318521683403E-2"/>
      </top>
      <bottom style="thin">
        <color theme="0" tint="-4.9989318521683403E-2"/>
      </bottom>
      <diagonal/>
    </border>
    <border>
      <left style="thin">
        <color theme="0" tint="-0.14996795556505021"/>
      </left>
      <right style="thin">
        <color theme="1"/>
      </right>
      <top style="thin">
        <color theme="0" tint="-4.9989318521683403E-2"/>
      </top>
      <bottom/>
      <diagonal/>
    </border>
    <border>
      <left style="thin">
        <color theme="0" tint="-0.14996795556505021"/>
      </left>
      <right style="thin">
        <color theme="1"/>
      </right>
      <top/>
      <bottom style="thin">
        <color theme="0" tint="-4.9989318521683403E-2"/>
      </bottom>
      <diagonal/>
    </border>
    <border>
      <left style="thin">
        <color theme="0" tint="-0.14996795556505021"/>
      </left>
      <right style="thin">
        <color theme="1"/>
      </right>
      <top style="thin">
        <color theme="1" tint="0.59996337778862885"/>
      </top>
      <bottom style="thin">
        <color theme="0" tint="-4.9989318521683403E-2"/>
      </bottom>
      <diagonal/>
    </border>
    <border>
      <left/>
      <right/>
      <top style="thin">
        <color theme="1" tint="0.59996337778862885"/>
      </top>
      <bottom style="thin">
        <color theme="0" tint="-4.9989318521683403E-2"/>
      </bottom>
      <diagonal/>
    </border>
    <border>
      <left style="thin">
        <color theme="0" tint="-0.14996795556505021"/>
      </left>
      <right/>
      <top style="thin">
        <color theme="1" tint="0.59996337778862885"/>
      </top>
      <bottom style="thin">
        <color theme="0" tint="-4.9989318521683403E-2"/>
      </bottom>
      <diagonal/>
    </border>
    <border>
      <left/>
      <right style="thin">
        <color theme="0" tint="-0.14996795556505021"/>
      </right>
      <top style="thin">
        <color theme="1" tint="0.59996337778862885"/>
      </top>
      <bottom style="thin">
        <color theme="0" tint="-4.9989318521683403E-2"/>
      </bottom>
      <diagonal/>
    </border>
    <border>
      <left style="thin">
        <color theme="0" tint="-0.14996795556505021"/>
      </left>
      <right style="thin">
        <color theme="1"/>
      </right>
      <top style="thin">
        <color theme="0" tint="-4.9989318521683403E-2"/>
      </top>
      <bottom style="thin">
        <color theme="1" tint="0.59996337778862885"/>
      </bottom>
      <diagonal/>
    </border>
    <border>
      <left/>
      <right/>
      <top style="thin">
        <color theme="0" tint="-4.9989318521683403E-2"/>
      </top>
      <bottom style="thin">
        <color theme="1" tint="0.59996337778862885"/>
      </bottom>
      <diagonal/>
    </border>
    <border>
      <left style="thin">
        <color theme="0" tint="-0.14996795556505021"/>
      </left>
      <right/>
      <top style="thin">
        <color theme="0" tint="-4.9989318521683403E-2"/>
      </top>
      <bottom style="thin">
        <color theme="1" tint="0.59996337778862885"/>
      </bottom>
      <diagonal/>
    </border>
    <border>
      <left/>
      <right style="thin">
        <color theme="0" tint="-0.14996795556505021"/>
      </right>
      <top style="thin">
        <color theme="0" tint="-4.9989318521683403E-2"/>
      </top>
      <bottom style="thin">
        <color theme="1" tint="0.59996337778862885"/>
      </bottom>
      <diagonal/>
    </border>
    <border>
      <left style="thin">
        <color theme="3" tint="0.79998168889431442"/>
      </left>
      <right/>
      <top/>
      <bottom/>
      <diagonal/>
    </border>
    <border>
      <left style="thin">
        <color theme="0" tint="-0.14996795556505021"/>
      </left>
      <right style="thin">
        <color theme="1" tint="0.39994506668294322"/>
      </right>
      <top style="thin">
        <color theme="0" tint="-0.14993743705557422"/>
      </top>
      <bottom style="thin">
        <color theme="0" tint="-4.9989318521683403E-2"/>
      </bottom>
      <diagonal/>
    </border>
    <border>
      <left style="thin">
        <color theme="1" tint="0.39994506668294322"/>
      </left>
      <right/>
      <top style="thin">
        <color theme="0" tint="-0.14993743705557422"/>
      </top>
      <bottom style="thin">
        <color theme="0" tint="-4.9989318521683403E-2"/>
      </bottom>
      <diagonal/>
    </border>
    <border>
      <left/>
      <right style="thin">
        <color theme="0" tint="-0.14996795556505021"/>
      </right>
      <top style="thin">
        <color theme="0" tint="-0.14993743705557422"/>
      </top>
      <bottom style="thin">
        <color theme="0" tint="-4.9989318521683403E-2"/>
      </bottom>
      <diagonal/>
    </border>
    <border>
      <left/>
      <right/>
      <top style="thin">
        <color theme="0" tint="-0.14993743705557422"/>
      </top>
      <bottom style="thin">
        <color theme="0" tint="-4.9989318521683403E-2"/>
      </bottom>
      <diagonal/>
    </border>
    <border>
      <left/>
      <right style="thin">
        <color theme="0" tint="-4.9989318521683403E-2"/>
      </right>
      <top style="thin">
        <color theme="0" tint="-4.9989318521683403E-2"/>
      </top>
      <bottom/>
      <diagonal/>
    </border>
    <border>
      <left style="thin">
        <color theme="0" tint="-0.14996795556505021"/>
      </left>
      <right style="thin">
        <color theme="1" tint="0.39994506668294322"/>
      </right>
      <top style="thin">
        <color theme="0" tint="-0.14993743705557422"/>
      </top>
      <bottom style="thin">
        <color theme="1"/>
      </bottom>
      <diagonal/>
    </border>
    <border>
      <left/>
      <right style="thin">
        <color theme="0" tint="-4.9989318521683403E-2"/>
      </right>
      <top style="thin">
        <color theme="0" tint="-0.14993743705557422"/>
      </top>
      <bottom style="thin">
        <color theme="1"/>
      </bottom>
      <diagonal/>
    </border>
    <border>
      <left/>
      <right style="thin">
        <color theme="0" tint="-0.14996795556505021"/>
      </right>
      <top style="thin">
        <color theme="0" tint="-0.14993743705557422"/>
      </top>
      <bottom style="thin">
        <color theme="1"/>
      </bottom>
      <diagonal/>
    </border>
    <border>
      <left style="thin">
        <color theme="0" tint="-0.14996795556505021"/>
      </left>
      <right/>
      <top style="thin">
        <color theme="0" tint="-0.14993743705557422"/>
      </top>
      <bottom style="thin">
        <color theme="1"/>
      </bottom>
      <diagonal/>
    </border>
    <border>
      <left style="thin">
        <color theme="0" tint="-0.14996795556505021"/>
      </left>
      <right style="thin">
        <color theme="3" tint="0.79998168889431442"/>
      </right>
      <top/>
      <bottom/>
      <diagonal/>
    </border>
    <border>
      <left/>
      <right style="thin">
        <color theme="3" tint="0.79998168889431442"/>
      </right>
      <top/>
      <bottom/>
      <diagonal/>
    </border>
    <border>
      <left style="thin">
        <color theme="0" tint="-4.9989318521683403E-2"/>
      </left>
      <right style="thin">
        <color theme="0" tint="-0.14996795556505021"/>
      </right>
      <top style="thin">
        <color theme="0" tint="-4.9989318521683403E-2"/>
      </top>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right style="thin">
        <color theme="0" tint="-0.14996795556505021"/>
      </right>
      <top/>
      <bottom/>
      <diagonal/>
    </border>
    <border>
      <left style="thin">
        <color theme="0" tint="-0.14996795556505021"/>
      </left>
      <right style="thin">
        <color theme="1" tint="0.39994506668294322"/>
      </right>
      <top style="thin">
        <color theme="0" tint="-4.9989318521683403E-2"/>
      </top>
      <bottom style="thin">
        <color theme="0" tint="-0.14993743705557422"/>
      </bottom>
      <diagonal/>
    </border>
    <border>
      <left style="thin">
        <color theme="1" tint="0.39994506668294322"/>
      </left>
      <right/>
      <top style="thin">
        <color theme="0" tint="-4.9989318521683403E-2"/>
      </top>
      <bottom style="thin">
        <color theme="0" tint="-0.14993743705557422"/>
      </bottom>
      <diagonal/>
    </border>
    <border>
      <left/>
      <right style="thin">
        <color theme="0" tint="-0.14996795556505021"/>
      </right>
      <top style="thin">
        <color theme="0" tint="-4.9989318521683403E-2"/>
      </top>
      <bottom style="thin">
        <color theme="0" tint="-0.14993743705557422"/>
      </bottom>
      <diagonal/>
    </border>
    <border>
      <left/>
      <right/>
      <top style="thin">
        <color theme="0" tint="-4.9989318521683403E-2"/>
      </top>
      <bottom style="thin">
        <color theme="0" tint="-0.14993743705557422"/>
      </bottom>
      <diagonal/>
    </border>
    <border>
      <left style="thin">
        <color theme="0" tint="-0.14996795556505021"/>
      </left>
      <right/>
      <top style="thin">
        <color theme="0" tint="-4.9989318521683403E-2"/>
      </top>
      <bottom style="thin">
        <color theme="0" tint="-0.14993743705557422"/>
      </bottom>
      <diagonal/>
    </border>
    <border>
      <left style="thin">
        <color theme="0" tint="-0.14996795556505021"/>
      </left>
      <right/>
      <top style="thin">
        <color theme="0" tint="-0.14993743705557422"/>
      </top>
      <bottom style="thin">
        <color theme="0" tint="-4.9989318521683403E-2"/>
      </bottom>
      <diagonal/>
    </border>
  </borders>
  <cellStyleXfs count="10">
    <xf numFmtId="0" fontId="0" fillId="0" borderId="0"/>
    <xf numFmtId="9" fontId="2" fillId="0" borderId="0" applyFont="0" applyFill="0" applyBorder="0" applyAlignment="0" applyProtection="0"/>
    <xf numFmtId="0" fontId="3" fillId="0" borderId="0"/>
    <xf numFmtId="0" fontId="3" fillId="0" borderId="0"/>
    <xf numFmtId="0" fontId="3" fillId="0" borderId="0"/>
    <xf numFmtId="0" fontId="1" fillId="0" borderId="0">
      <alignment vertical="center"/>
      <protection locked="0"/>
    </xf>
    <xf numFmtId="9" fontId="1" fillId="0" borderId="0" applyFill="0" applyBorder="0" applyAlignment="0" applyProtection="0"/>
    <xf numFmtId="0" fontId="14" fillId="0" borderId="0" applyNumberFormat="0" applyFill="0" applyBorder="0" applyAlignment="0" applyProtection="0"/>
    <xf numFmtId="0" fontId="26" fillId="0" borderId="0"/>
    <xf numFmtId="0" fontId="40" fillId="0" borderId="0"/>
  </cellStyleXfs>
  <cellXfs count="300">
    <xf numFmtId="0" fontId="0" fillId="0" borderId="0" xfId="0"/>
    <xf numFmtId="0" fontId="1" fillId="0" borderId="0" xfId="0" applyFont="1"/>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left"/>
    </xf>
    <xf numFmtId="9" fontId="1" fillId="2" borderId="0" xfId="1" applyFont="1" applyFill="1"/>
    <xf numFmtId="3" fontId="5" fillId="2" borderId="0" xfId="4" applyNumberFormat="1" applyFont="1" applyFill="1" applyAlignment="1" applyProtection="1">
      <alignment horizontal="left" wrapText="1"/>
      <protection locked="0"/>
    </xf>
    <xf numFmtId="0" fontId="6" fillId="2" borderId="0" xfId="0" applyFont="1" applyFill="1"/>
    <xf numFmtId="0" fontId="7" fillId="2" borderId="0" xfId="0" applyFont="1" applyFill="1"/>
    <xf numFmtId="3" fontId="4" fillId="2" borderId="0" xfId="4" applyNumberFormat="1" applyFont="1" applyFill="1" applyAlignment="1" applyProtection="1">
      <alignment wrapText="1"/>
      <protection locked="0"/>
    </xf>
    <xf numFmtId="1" fontId="1" fillId="2" borderId="0" xfId="0" applyNumberFormat="1" applyFont="1" applyFill="1"/>
    <xf numFmtId="3" fontId="4" fillId="2" borderId="0" xfId="4" applyNumberFormat="1" applyFont="1" applyFill="1" applyAlignment="1" applyProtection="1">
      <alignment horizontal="left" wrapText="1"/>
      <protection locked="0"/>
    </xf>
    <xf numFmtId="3" fontId="10" fillId="2" borderId="0" xfId="4" applyNumberFormat="1" applyFont="1" applyFill="1" applyAlignment="1" applyProtection="1">
      <alignment wrapText="1"/>
      <protection locked="0"/>
    </xf>
    <xf numFmtId="0" fontId="1" fillId="2" borderId="0" xfId="0" applyFont="1" applyFill="1" applyAlignment="1">
      <alignment horizontal="left" wrapText="1"/>
    </xf>
    <xf numFmtId="0" fontId="1" fillId="2" borderId="0" xfId="0" applyFont="1" applyFill="1" applyAlignment="1">
      <alignment wrapText="1"/>
    </xf>
    <xf numFmtId="0" fontId="11" fillId="2" borderId="0" xfId="0" applyFont="1" applyFill="1"/>
    <xf numFmtId="0" fontId="7" fillId="2" borderId="0" xfId="4" applyFont="1" applyFill="1"/>
    <xf numFmtId="3" fontId="12" fillId="2" borderId="0" xfId="4" applyNumberFormat="1" applyFont="1" applyFill="1" applyAlignment="1" applyProtection="1">
      <alignment wrapText="1"/>
      <protection locked="0"/>
    </xf>
    <xf numFmtId="3" fontId="1" fillId="2" borderId="0" xfId="4" applyNumberFormat="1" applyFont="1" applyFill="1" applyAlignment="1" applyProtection="1">
      <alignment horizontal="left" wrapText="1"/>
      <protection locked="0"/>
    </xf>
    <xf numFmtId="3" fontId="16" fillId="2" borderId="0" xfId="4" applyNumberFormat="1" applyFont="1" applyFill="1" applyAlignment="1" applyProtection="1">
      <alignment wrapText="1"/>
      <protection locked="0"/>
    </xf>
    <xf numFmtId="0" fontId="19" fillId="2" borderId="0" xfId="0" applyFont="1" applyFill="1"/>
    <xf numFmtId="3" fontId="4" fillId="2" borderId="0" xfId="4" applyNumberFormat="1" applyFont="1" applyFill="1" applyProtection="1">
      <protection locked="0"/>
    </xf>
    <xf numFmtId="0" fontId="1" fillId="0" borderId="0" xfId="0" applyFont="1" applyAlignment="1">
      <alignment horizontal="left"/>
    </xf>
    <xf numFmtId="2" fontId="1" fillId="2" borderId="0" xfId="1" applyNumberFormat="1" applyFont="1" applyFill="1"/>
    <xf numFmtId="0" fontId="21" fillId="2" borderId="0" xfId="0" applyFont="1" applyFill="1" applyAlignment="1">
      <alignment wrapText="1"/>
    </xf>
    <xf numFmtId="0" fontId="22" fillId="2" borderId="0" xfId="0" applyFont="1" applyFill="1" applyAlignment="1">
      <alignment vertical="center" wrapText="1"/>
    </xf>
    <xf numFmtId="0" fontId="21" fillId="2" borderId="0" xfId="0" applyFont="1" applyFill="1"/>
    <xf numFmtId="0" fontId="4" fillId="0" borderId="0" xfId="0" applyFont="1"/>
    <xf numFmtId="3" fontId="1" fillId="0" borderId="12" xfId="1" applyNumberFormat="1" applyFont="1" applyBorder="1" applyAlignment="1">
      <alignment horizontal="center" vertical="center"/>
    </xf>
    <xf numFmtId="9" fontId="1" fillId="0" borderId="13" xfId="1" applyFont="1" applyBorder="1" applyAlignment="1">
      <alignment horizontal="center" vertical="center"/>
    </xf>
    <xf numFmtId="9" fontId="1" fillId="0" borderId="14" xfId="1" applyFont="1" applyBorder="1" applyAlignment="1">
      <alignment horizontal="center" vertical="center"/>
    </xf>
    <xf numFmtId="9" fontId="1" fillId="0" borderId="15" xfId="1" applyFont="1" applyBorder="1" applyAlignment="1">
      <alignment horizontal="center" vertical="center"/>
    </xf>
    <xf numFmtId="3" fontId="1" fillId="0" borderId="17" xfId="1" applyNumberFormat="1" applyFont="1" applyBorder="1" applyAlignment="1">
      <alignment horizontal="center" vertical="center"/>
    </xf>
    <xf numFmtId="3" fontId="1" fillId="0" borderId="18" xfId="1" applyNumberFormat="1" applyFont="1" applyBorder="1" applyAlignment="1">
      <alignment horizontal="center" vertical="center"/>
    </xf>
    <xf numFmtId="0" fontId="13" fillId="4" borderId="20"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4" borderId="22" xfId="0" applyFont="1" applyFill="1" applyBorder="1" applyAlignment="1">
      <alignment horizontal="center" vertical="center" wrapText="1"/>
    </xf>
    <xf numFmtId="3" fontId="1" fillId="0" borderId="24" xfId="1" applyNumberFormat="1" applyFont="1" applyBorder="1" applyAlignment="1">
      <alignment horizontal="center" vertical="center"/>
    </xf>
    <xf numFmtId="9" fontId="1" fillId="0" borderId="25" xfId="1" applyFont="1" applyBorder="1" applyAlignment="1">
      <alignment horizontal="center" vertical="center"/>
    </xf>
    <xf numFmtId="3" fontId="1" fillId="2" borderId="19" xfId="0" applyNumberFormat="1" applyFont="1" applyFill="1" applyBorder="1" applyAlignment="1">
      <alignment vertical="center"/>
    </xf>
    <xf numFmtId="3" fontId="1" fillId="2" borderId="16" xfId="0" applyNumberFormat="1" applyFont="1" applyFill="1" applyBorder="1" applyAlignment="1">
      <alignment vertical="center"/>
    </xf>
    <xf numFmtId="3" fontId="1" fillId="0" borderId="10" xfId="1" applyNumberFormat="1" applyFont="1" applyBorder="1" applyAlignment="1">
      <alignment horizontal="center" vertical="center"/>
    </xf>
    <xf numFmtId="9" fontId="1" fillId="0" borderId="11" xfId="1" applyFont="1" applyBorder="1" applyAlignment="1">
      <alignment horizontal="center" vertical="center"/>
    </xf>
    <xf numFmtId="0" fontId="9" fillId="2" borderId="0" xfId="0" applyFont="1" applyFill="1" applyAlignment="1">
      <alignment horizontal="left" wrapText="1"/>
    </xf>
    <xf numFmtId="0" fontId="1" fillId="2" borderId="0" xfId="0" applyFont="1" applyFill="1" applyAlignment="1">
      <alignment horizontal="left" vertical="center"/>
    </xf>
    <xf numFmtId="1" fontId="1" fillId="2" borderId="27" xfId="0" applyNumberFormat="1" applyFont="1" applyFill="1" applyBorder="1" applyAlignment="1">
      <alignment horizontal="left" vertical="center"/>
    </xf>
    <xf numFmtId="1" fontId="13" fillId="3" borderId="6" xfId="0" applyNumberFormat="1" applyFont="1" applyFill="1" applyBorder="1" applyAlignment="1">
      <alignment horizontal="left" vertical="center"/>
    </xf>
    <xf numFmtId="0" fontId="7" fillId="2" borderId="0" xfId="0" applyFont="1" applyFill="1" applyAlignment="1">
      <alignment horizontal="left" vertical="center"/>
    </xf>
    <xf numFmtId="9" fontId="1" fillId="0" borderId="27" xfId="1" applyFont="1" applyBorder="1" applyAlignment="1">
      <alignment horizontal="center" vertical="center"/>
    </xf>
    <xf numFmtId="3" fontId="1" fillId="0" borderId="28" xfId="1" applyNumberFormat="1" applyFont="1" applyBorder="1" applyAlignment="1">
      <alignment horizontal="center" vertical="center"/>
    </xf>
    <xf numFmtId="3" fontId="1" fillId="0" borderId="2" xfId="1" applyNumberFormat="1" applyFont="1" applyBorder="1" applyAlignment="1">
      <alignment horizontal="center" vertical="center"/>
    </xf>
    <xf numFmtId="9" fontId="1" fillId="2" borderId="0" xfId="1" applyFont="1" applyFill="1" applyAlignment="1">
      <alignment horizontal="left" vertical="center"/>
    </xf>
    <xf numFmtId="3" fontId="1" fillId="0" borderId="32" xfId="1" applyNumberFormat="1" applyFont="1" applyBorder="1" applyAlignment="1">
      <alignment horizontal="center" vertical="center"/>
    </xf>
    <xf numFmtId="9" fontId="1" fillId="0" borderId="29" xfId="1" applyFont="1" applyBorder="1" applyAlignment="1">
      <alignment horizontal="center" vertical="center"/>
    </xf>
    <xf numFmtId="0" fontId="7" fillId="2" borderId="0" xfId="0" applyFont="1" applyFill="1" applyAlignment="1">
      <alignment vertical="center"/>
    </xf>
    <xf numFmtId="3" fontId="1" fillId="0" borderId="3" xfId="1" applyNumberFormat="1" applyFont="1" applyBorder="1" applyAlignment="1">
      <alignment horizontal="center" vertical="center"/>
    </xf>
    <xf numFmtId="3" fontId="4" fillId="2" borderId="0" xfId="4" applyNumberFormat="1" applyFont="1" applyFill="1" applyAlignment="1" applyProtection="1">
      <alignment horizontal="left" vertical="center" wrapText="1"/>
      <protection locked="0"/>
    </xf>
    <xf numFmtId="0" fontId="11" fillId="2" borderId="0" xfId="0" applyFont="1" applyFill="1" applyAlignment="1">
      <alignment wrapText="1"/>
    </xf>
    <xf numFmtId="1" fontId="13" fillId="3" borderId="5" xfId="0" applyNumberFormat="1" applyFont="1" applyFill="1" applyBorder="1" applyAlignment="1">
      <alignment horizontal="left" vertical="center"/>
    </xf>
    <xf numFmtId="2" fontId="13" fillId="0" borderId="7" xfId="0" applyNumberFormat="1" applyFont="1" applyBorder="1" applyAlignment="1">
      <alignment horizontal="left" vertical="center" wrapText="1"/>
    </xf>
    <xf numFmtId="3" fontId="13" fillId="0" borderId="7" xfId="0" applyNumberFormat="1" applyFont="1" applyBorder="1" applyAlignment="1">
      <alignment horizontal="center" vertical="center"/>
    </xf>
    <xf numFmtId="1" fontId="13" fillId="0" borderId="7" xfId="0" applyNumberFormat="1" applyFont="1" applyBorder="1" applyAlignment="1">
      <alignment horizontal="left" vertical="center"/>
    </xf>
    <xf numFmtId="2" fontId="13" fillId="3" borderId="31" xfId="0" applyNumberFormat="1" applyFont="1" applyFill="1" applyBorder="1" applyAlignment="1">
      <alignment horizontal="left" vertical="center" wrapText="1"/>
    </xf>
    <xf numFmtId="3" fontId="1" fillId="0" borderId="8" xfId="1" applyNumberFormat="1" applyFont="1" applyBorder="1" applyAlignment="1">
      <alignment horizontal="center" vertical="center"/>
    </xf>
    <xf numFmtId="3" fontId="1" fillId="0" borderId="1" xfId="1" applyNumberFormat="1" applyFont="1" applyBorder="1" applyAlignment="1">
      <alignment horizontal="center" vertical="center"/>
    </xf>
    <xf numFmtId="3" fontId="1" fillId="0" borderId="18" xfId="1" applyNumberFormat="1" applyFont="1" applyFill="1" applyBorder="1" applyAlignment="1">
      <alignment horizontal="center" vertical="center"/>
    </xf>
    <xf numFmtId="0" fontId="1" fillId="0" borderId="19" xfId="0" applyFont="1" applyBorder="1" applyAlignment="1">
      <alignment vertical="center" wrapText="1"/>
    </xf>
    <xf numFmtId="3" fontId="1" fillId="0" borderId="39" xfId="1" applyNumberFormat="1" applyFont="1" applyBorder="1" applyAlignment="1">
      <alignment horizontal="center" vertical="center"/>
    </xf>
    <xf numFmtId="0" fontId="1" fillId="0" borderId="16" xfId="0" applyFont="1" applyBorder="1" applyAlignment="1">
      <alignment vertical="center" wrapText="1"/>
    </xf>
    <xf numFmtId="3" fontId="1" fillId="0" borderId="40" xfId="1" applyNumberFormat="1" applyFont="1" applyBorder="1" applyAlignment="1">
      <alignment horizontal="center" vertical="center"/>
    </xf>
    <xf numFmtId="0" fontId="1" fillId="2" borderId="19" xfId="0" applyFont="1" applyFill="1" applyBorder="1" applyAlignment="1">
      <alignment vertical="center" wrapText="1"/>
    </xf>
    <xf numFmtId="0" fontId="1" fillId="2" borderId="16" xfId="0" applyFont="1" applyFill="1" applyBorder="1" applyAlignment="1">
      <alignment vertical="center" wrapText="1"/>
    </xf>
    <xf numFmtId="3" fontId="1" fillId="2" borderId="19" xfId="0" applyNumberFormat="1" applyFont="1" applyFill="1" applyBorder="1" applyAlignment="1">
      <alignment vertical="center" wrapText="1"/>
    </xf>
    <xf numFmtId="3" fontId="1" fillId="2" borderId="16" xfId="0" applyNumberFormat="1" applyFont="1" applyFill="1" applyBorder="1" applyAlignment="1">
      <alignment vertical="center" wrapText="1"/>
    </xf>
    <xf numFmtId="3" fontId="1" fillId="0" borderId="39" xfId="1" applyNumberFormat="1" applyFont="1" applyFill="1" applyBorder="1" applyAlignment="1">
      <alignment horizontal="center" vertical="center"/>
    </xf>
    <xf numFmtId="3" fontId="1" fillId="0" borderId="36" xfId="1" applyNumberFormat="1" applyFont="1" applyBorder="1" applyAlignment="1">
      <alignment horizontal="center" vertical="center"/>
    </xf>
    <xf numFmtId="9" fontId="1" fillId="0" borderId="37" xfId="1" applyFont="1" applyBorder="1" applyAlignment="1">
      <alignment horizontal="center" vertical="center"/>
    </xf>
    <xf numFmtId="0" fontId="1" fillId="2" borderId="0" xfId="0" applyFont="1" applyFill="1" applyAlignment="1">
      <alignment horizontal="left" vertical="center" wrapText="1"/>
    </xf>
    <xf numFmtId="0" fontId="1" fillId="2" borderId="41" xfId="0" applyFont="1" applyFill="1" applyBorder="1" applyAlignment="1">
      <alignment vertical="center" wrapText="1"/>
    </xf>
    <xf numFmtId="3" fontId="1" fillId="0" borderId="42" xfId="1" applyNumberFormat="1" applyFont="1" applyBorder="1" applyAlignment="1">
      <alignment horizontal="center" vertical="center"/>
    </xf>
    <xf numFmtId="3" fontId="1" fillId="2" borderId="19" xfId="0" applyNumberFormat="1" applyFont="1" applyFill="1" applyBorder="1" applyAlignment="1">
      <alignment horizontal="left" vertical="center" wrapText="1"/>
    </xf>
    <xf numFmtId="3" fontId="12" fillId="2" borderId="0" xfId="4" applyNumberFormat="1" applyFont="1" applyFill="1" applyAlignment="1" applyProtection="1">
      <alignment vertical="center"/>
      <protection locked="0"/>
    </xf>
    <xf numFmtId="3" fontId="4" fillId="2" borderId="0" xfId="4" applyNumberFormat="1" applyFont="1" applyFill="1" applyAlignment="1" applyProtection="1">
      <alignment horizontal="center" vertical="center" wrapText="1"/>
      <protection locked="0"/>
    </xf>
    <xf numFmtId="0" fontId="1" fillId="2" borderId="0" xfId="0" applyFont="1" applyFill="1" applyAlignment="1">
      <alignment horizontal="center" vertical="center"/>
    </xf>
    <xf numFmtId="3" fontId="1" fillId="2" borderId="43" xfId="0" applyNumberFormat="1" applyFont="1" applyFill="1" applyBorder="1" applyAlignment="1">
      <alignment vertical="center" wrapText="1"/>
    </xf>
    <xf numFmtId="3" fontId="1" fillId="2" borderId="44" xfId="0" applyNumberFormat="1" applyFont="1" applyFill="1" applyBorder="1" applyAlignment="1">
      <alignment vertical="center" wrapText="1"/>
    </xf>
    <xf numFmtId="3" fontId="1" fillId="0" borderId="30" xfId="1" applyNumberFormat="1" applyFont="1" applyBorder="1" applyAlignment="1">
      <alignment horizontal="center" vertical="center"/>
    </xf>
    <xf numFmtId="9" fontId="1" fillId="2" borderId="0" xfId="1" applyFont="1" applyFill="1" applyAlignment="1">
      <alignment horizontal="center" vertical="center"/>
    </xf>
    <xf numFmtId="3" fontId="1" fillId="2" borderId="0" xfId="4" applyNumberFormat="1" applyFont="1" applyFill="1" applyAlignment="1" applyProtection="1">
      <alignment horizontal="left" vertical="center" wrapText="1"/>
      <protection locked="0"/>
    </xf>
    <xf numFmtId="3" fontId="1" fillId="2" borderId="0" xfId="4" applyNumberFormat="1" applyFont="1" applyFill="1" applyAlignment="1" applyProtection="1">
      <alignment horizontal="center" vertical="center" wrapText="1"/>
      <protection locked="0"/>
    </xf>
    <xf numFmtId="3" fontId="1" fillId="2" borderId="43" xfId="0" applyNumberFormat="1" applyFont="1" applyFill="1" applyBorder="1" applyAlignment="1">
      <alignment horizontal="left" vertical="center" wrapText="1" indent="2"/>
    </xf>
    <xf numFmtId="1" fontId="1" fillId="2" borderId="9" xfId="0" applyNumberFormat="1" applyFont="1" applyFill="1" applyBorder="1" applyAlignment="1">
      <alignment horizontal="left" vertical="center"/>
    </xf>
    <xf numFmtId="3" fontId="1" fillId="2" borderId="45" xfId="0" applyNumberFormat="1" applyFont="1" applyFill="1" applyBorder="1" applyAlignment="1">
      <alignment vertical="center" wrapText="1"/>
    </xf>
    <xf numFmtId="3" fontId="1" fillId="2" borderId="46" xfId="0" applyNumberFormat="1" applyFont="1" applyFill="1" applyBorder="1" applyAlignment="1">
      <alignment vertical="center" wrapText="1"/>
    </xf>
    <xf numFmtId="3" fontId="1" fillId="0" borderId="47" xfId="1" applyNumberFormat="1" applyFont="1" applyBorder="1" applyAlignment="1">
      <alignment horizontal="center" vertical="center"/>
    </xf>
    <xf numFmtId="3" fontId="1" fillId="0" borderId="48" xfId="1" applyNumberFormat="1" applyFont="1" applyBorder="1" applyAlignment="1">
      <alignment horizontal="center" vertical="center"/>
    </xf>
    <xf numFmtId="9" fontId="1" fillId="0" borderId="49" xfId="1" applyFont="1" applyBorder="1" applyAlignment="1">
      <alignment horizontal="center" vertical="center"/>
    </xf>
    <xf numFmtId="3" fontId="1" fillId="2" borderId="50" xfId="0" applyNumberFormat="1" applyFont="1" applyFill="1" applyBorder="1" applyAlignment="1">
      <alignment vertical="center" wrapText="1"/>
    </xf>
    <xf numFmtId="3" fontId="1" fillId="0" borderId="51" xfId="1" applyNumberFormat="1" applyFont="1" applyBorder="1" applyAlignment="1">
      <alignment horizontal="center" vertical="center"/>
    </xf>
    <xf numFmtId="3" fontId="1" fillId="0" borderId="52" xfId="1" applyNumberFormat="1" applyFont="1" applyBorder="1" applyAlignment="1">
      <alignment horizontal="center" vertical="center"/>
    </xf>
    <xf numFmtId="9" fontId="1" fillId="0" borderId="53" xfId="1" applyFont="1" applyBorder="1" applyAlignment="1">
      <alignment horizontal="center" vertical="center"/>
    </xf>
    <xf numFmtId="0" fontId="1" fillId="2" borderId="55" xfId="0" applyFont="1" applyFill="1" applyBorder="1" applyAlignment="1">
      <alignment vertical="center" wrapText="1"/>
    </xf>
    <xf numFmtId="3" fontId="1" fillId="0" borderId="56" xfId="1" applyNumberFormat="1" applyFont="1" applyBorder="1" applyAlignment="1">
      <alignment horizontal="center" vertical="center"/>
    </xf>
    <xf numFmtId="9" fontId="1" fillId="0" borderId="57" xfId="1" applyFont="1" applyBorder="1" applyAlignment="1">
      <alignment horizontal="center" vertical="center"/>
    </xf>
    <xf numFmtId="3" fontId="1" fillId="0" borderId="58" xfId="1" applyNumberFormat="1" applyFont="1" applyBorder="1" applyAlignment="1">
      <alignment horizontal="center" vertical="center"/>
    </xf>
    <xf numFmtId="0" fontId="1" fillId="2" borderId="41" xfId="0" applyFont="1" applyFill="1" applyBorder="1" applyAlignment="1">
      <alignment horizontal="left" vertical="center" wrapText="1" indent="1"/>
    </xf>
    <xf numFmtId="0" fontId="29" fillId="2" borderId="0" xfId="0" applyFont="1" applyFill="1"/>
    <xf numFmtId="3" fontId="1" fillId="2" borderId="43" xfId="0" applyNumberFormat="1" applyFont="1" applyFill="1" applyBorder="1" applyAlignment="1">
      <alignment horizontal="left" vertical="center" wrapText="1" indent="1"/>
    </xf>
    <xf numFmtId="3" fontId="1" fillId="2" borderId="44" xfId="0" applyNumberFormat="1" applyFont="1" applyFill="1" applyBorder="1" applyAlignment="1">
      <alignment horizontal="left" vertical="center" wrapText="1" indent="1"/>
    </xf>
    <xf numFmtId="0" fontId="27" fillId="0" borderId="0" xfId="0" applyFont="1"/>
    <xf numFmtId="0" fontId="24" fillId="2" borderId="0" xfId="0" applyFont="1" applyFill="1"/>
    <xf numFmtId="0" fontId="30" fillId="2" borderId="0" xfId="0" applyFont="1" applyFill="1"/>
    <xf numFmtId="3" fontId="31" fillId="2" borderId="0" xfId="4" applyNumberFormat="1" applyFont="1" applyFill="1" applyAlignment="1" applyProtection="1">
      <alignment wrapText="1"/>
      <protection locked="0"/>
    </xf>
    <xf numFmtId="3" fontId="4" fillId="2" borderId="0" xfId="0" applyNumberFormat="1" applyFont="1" applyFill="1" applyAlignment="1">
      <alignment horizontal="center"/>
    </xf>
    <xf numFmtId="0" fontId="11" fillId="2" borderId="0" xfId="0" applyFont="1" applyFill="1" applyAlignment="1">
      <alignment horizontal="left" wrapText="1"/>
    </xf>
    <xf numFmtId="0" fontId="24" fillId="0" borderId="0" xfId="0" applyFont="1"/>
    <xf numFmtId="0" fontId="32" fillId="2" borderId="0" xfId="0" applyFont="1" applyFill="1"/>
    <xf numFmtId="0" fontId="33" fillId="2" borderId="0" xfId="0" applyFont="1" applyFill="1"/>
    <xf numFmtId="0" fontId="30" fillId="0" borderId="0" xfId="0" applyFont="1"/>
    <xf numFmtId="3" fontId="1" fillId="2" borderId="41" xfId="0" applyNumberFormat="1" applyFont="1" applyFill="1" applyBorder="1" applyAlignment="1">
      <alignment vertical="center"/>
    </xf>
    <xf numFmtId="3" fontId="1" fillId="0" borderId="59" xfId="1" applyNumberFormat="1" applyFont="1" applyBorder="1" applyAlignment="1">
      <alignment horizontal="center" vertical="center"/>
    </xf>
    <xf numFmtId="3" fontId="11" fillId="2" borderId="60" xfId="0" applyNumberFormat="1" applyFont="1" applyFill="1" applyBorder="1" applyAlignment="1">
      <alignment vertical="center"/>
    </xf>
    <xf numFmtId="3" fontId="11" fillId="0" borderId="61" xfId="1" applyNumberFormat="1" applyFont="1" applyBorder="1" applyAlignment="1">
      <alignment horizontal="center" vertical="center"/>
    </xf>
    <xf numFmtId="9" fontId="11" fillId="0" borderId="62" xfId="1" applyFont="1" applyBorder="1" applyAlignment="1">
      <alignment horizontal="center" vertical="center"/>
    </xf>
    <xf numFmtId="3" fontId="11" fillId="0" borderId="63" xfId="1" applyNumberFormat="1" applyFont="1" applyBorder="1" applyAlignment="1">
      <alignment horizontal="center" vertical="center"/>
    </xf>
    <xf numFmtId="1" fontId="11" fillId="2" borderId="62" xfId="0" applyNumberFormat="1" applyFont="1" applyFill="1" applyBorder="1" applyAlignment="1">
      <alignment horizontal="left" vertical="center"/>
    </xf>
    <xf numFmtId="0" fontId="4" fillId="2" borderId="0" xfId="0" applyFont="1" applyFill="1" applyAlignment="1">
      <alignment horizontal="left" wrapText="1"/>
    </xf>
    <xf numFmtId="3" fontId="1" fillId="2" borderId="19" xfId="0" applyNumberFormat="1" applyFont="1" applyFill="1" applyBorder="1" applyAlignment="1">
      <alignment horizontal="left" vertical="center" wrapText="1" indent="1"/>
    </xf>
    <xf numFmtId="0" fontId="29" fillId="0" borderId="0" xfId="0" applyFont="1"/>
    <xf numFmtId="9" fontId="1" fillId="0" borderId="0" xfId="1" applyFont="1" applyFill="1"/>
    <xf numFmtId="0" fontId="25" fillId="0" borderId="0" xfId="0" applyFont="1" applyAlignment="1">
      <alignment horizontal="left"/>
    </xf>
    <xf numFmtId="9" fontId="25" fillId="0" borderId="0" xfId="1" applyFont="1" applyFill="1"/>
    <xf numFmtId="0" fontId="25" fillId="0" borderId="0" xfId="0" applyFont="1"/>
    <xf numFmtId="3" fontId="4" fillId="0" borderId="0" xfId="4" applyNumberFormat="1" applyFont="1" applyAlignment="1" applyProtection="1">
      <alignment horizontal="left" wrapText="1"/>
      <protection locked="0"/>
    </xf>
    <xf numFmtId="3" fontId="10" fillId="0" borderId="0" xfId="4" applyNumberFormat="1" applyFont="1" applyAlignment="1" applyProtection="1">
      <alignment vertical="center" wrapText="1"/>
      <protection locked="0"/>
    </xf>
    <xf numFmtId="3" fontId="10" fillId="0" borderId="0" xfId="4" applyNumberFormat="1" applyFont="1" applyAlignment="1" applyProtection="1">
      <alignment horizontal="left" vertical="center" wrapText="1"/>
      <protection locked="0"/>
    </xf>
    <xf numFmtId="0" fontId="25" fillId="0" borderId="0" xfId="0" applyFont="1" applyAlignment="1">
      <alignment vertical="center"/>
    </xf>
    <xf numFmtId="3" fontId="17" fillId="0" borderId="0" xfId="4" applyNumberFormat="1" applyFont="1" applyAlignment="1" applyProtection="1">
      <alignment horizontal="left"/>
      <protection locked="0"/>
    </xf>
    <xf numFmtId="0" fontId="1" fillId="0" borderId="0" xfId="0" applyFont="1" applyAlignment="1">
      <alignment vertical="center"/>
    </xf>
    <xf numFmtId="0" fontId="34" fillId="2" borderId="0" xfId="0" applyFont="1" applyFill="1" applyAlignment="1">
      <alignment horizontal="left" wrapText="1"/>
    </xf>
    <xf numFmtId="3" fontId="12" fillId="2" borderId="0" xfId="4" applyNumberFormat="1" applyFont="1" applyFill="1" applyProtection="1">
      <protection locked="0"/>
    </xf>
    <xf numFmtId="3" fontId="4" fillId="2" borderId="0" xfId="4" applyNumberFormat="1" applyFont="1" applyFill="1" applyAlignment="1" applyProtection="1">
      <alignment vertical="center"/>
      <protection locked="0"/>
    </xf>
    <xf numFmtId="0" fontId="34" fillId="2" borderId="0" xfId="0" applyFont="1" applyFill="1" applyAlignment="1">
      <alignment wrapText="1"/>
    </xf>
    <xf numFmtId="0" fontId="1" fillId="2" borderId="19" xfId="0" applyFont="1" applyFill="1" applyBorder="1" applyAlignment="1">
      <alignment horizontal="left" vertical="center" wrapText="1" indent="1"/>
    </xf>
    <xf numFmtId="0" fontId="1" fillId="2" borderId="19" xfId="0" applyFont="1" applyFill="1" applyBorder="1" applyAlignment="1">
      <alignment horizontal="left" vertical="center" wrapText="1" indent="3"/>
    </xf>
    <xf numFmtId="0" fontId="27" fillId="0" borderId="0" xfId="0" applyFont="1" applyAlignment="1">
      <alignment horizontal="right"/>
    </xf>
    <xf numFmtId="2" fontId="13" fillId="0" borderId="0" xfId="0" applyNumberFormat="1" applyFont="1" applyAlignment="1">
      <alignment horizontal="left" vertical="center" wrapText="1"/>
    </xf>
    <xf numFmtId="3" fontId="13" fillId="0" borderId="0" xfId="0" applyNumberFormat="1" applyFont="1" applyAlignment="1">
      <alignment horizontal="center" vertical="center"/>
    </xf>
    <xf numFmtId="1" fontId="13" fillId="0" borderId="0" xfId="0" applyNumberFormat="1" applyFont="1" applyAlignment="1">
      <alignment horizontal="left" vertical="center"/>
    </xf>
    <xf numFmtId="9" fontId="1" fillId="0" borderId="66" xfId="1" applyFont="1" applyBorder="1" applyAlignment="1">
      <alignment horizontal="center" vertical="center"/>
    </xf>
    <xf numFmtId="0" fontId="27" fillId="0" borderId="0" xfId="0" applyFont="1" applyAlignment="1">
      <alignment vertical="center"/>
    </xf>
    <xf numFmtId="0" fontId="28" fillId="0" borderId="0" xfId="0" applyFont="1"/>
    <xf numFmtId="3" fontId="1" fillId="0" borderId="0" xfId="0" applyNumberFormat="1" applyFont="1" applyAlignment="1">
      <alignment vertical="center"/>
    </xf>
    <xf numFmtId="3" fontId="4" fillId="2" borderId="0" xfId="4" applyNumberFormat="1" applyFont="1" applyFill="1" applyAlignment="1" applyProtection="1">
      <alignment horizontal="left"/>
      <protection locked="0"/>
    </xf>
    <xf numFmtId="3" fontId="12" fillId="0" borderId="0" xfId="4" applyNumberFormat="1" applyFont="1" applyAlignment="1" applyProtection="1">
      <alignment horizontal="left" vertical="center" wrapText="1"/>
      <protection locked="0"/>
    </xf>
    <xf numFmtId="3" fontId="12" fillId="0" borderId="0" xfId="4" applyNumberFormat="1" applyFont="1" applyAlignment="1" applyProtection="1">
      <alignment horizontal="left" wrapText="1"/>
      <protection locked="0"/>
    </xf>
    <xf numFmtId="0" fontId="1" fillId="0" borderId="0" xfId="0" applyFont="1" applyAlignment="1">
      <alignment horizontal="left" vertical="center" wrapText="1" indent="2"/>
    </xf>
    <xf numFmtId="3" fontId="4" fillId="0" borderId="0" xfId="4" applyNumberFormat="1" applyFont="1" applyAlignment="1" applyProtection="1">
      <alignment horizontal="center" wrapText="1"/>
      <protection locked="0"/>
    </xf>
    <xf numFmtId="3" fontId="7" fillId="0" borderId="0" xfId="4" applyNumberFormat="1" applyFont="1" applyAlignment="1" applyProtection="1">
      <alignment horizontal="left" vertical="center" wrapText="1"/>
      <protection locked="0"/>
    </xf>
    <xf numFmtId="164" fontId="7" fillId="0" borderId="0" xfId="4" applyNumberFormat="1" applyFont="1" applyAlignment="1" applyProtection="1">
      <alignment horizontal="left" vertical="center" wrapText="1"/>
      <protection locked="0"/>
    </xf>
    <xf numFmtId="0" fontId="1" fillId="0" borderId="0" xfId="0" applyFont="1" applyAlignment="1">
      <alignment horizontal="left" vertical="center" wrapText="1" indent="5"/>
    </xf>
    <xf numFmtId="0" fontId="1" fillId="0" borderId="0" xfId="0" applyFont="1" applyAlignment="1">
      <alignment horizontal="left" wrapText="1"/>
    </xf>
    <xf numFmtId="3" fontId="35" fillId="0" borderId="0" xfId="4" applyNumberFormat="1" applyFont="1" applyAlignment="1" applyProtection="1">
      <alignment horizontal="left" vertical="center" wrapText="1"/>
      <protection locked="0"/>
    </xf>
    <xf numFmtId="0" fontId="11" fillId="2" borderId="0" xfId="0" applyFont="1" applyFill="1" applyAlignment="1">
      <alignment horizontal="right" vertical="center"/>
    </xf>
    <xf numFmtId="3" fontId="1" fillId="0" borderId="0" xfId="1" applyNumberFormat="1" applyFont="1" applyFill="1" applyBorder="1" applyAlignment="1">
      <alignment horizontal="center" vertical="center"/>
    </xf>
    <xf numFmtId="9" fontId="1" fillId="0" borderId="0" xfId="1" applyFont="1" applyFill="1" applyBorder="1" applyAlignment="1">
      <alignment horizontal="center" vertical="center"/>
    </xf>
    <xf numFmtId="3" fontId="1" fillId="2" borderId="43" xfId="0" applyNumberFormat="1" applyFont="1" applyFill="1" applyBorder="1" applyAlignment="1">
      <alignment horizontal="left" vertical="center" wrapText="1"/>
    </xf>
    <xf numFmtId="0" fontId="42" fillId="0" borderId="0" xfId="9" applyFont="1" applyAlignment="1">
      <alignment horizontal="left"/>
    </xf>
    <xf numFmtId="0" fontId="41" fillId="0" borderId="0" xfId="9" applyFont="1" applyAlignment="1">
      <alignment horizontal="left"/>
    </xf>
    <xf numFmtId="9" fontId="27" fillId="0" borderId="0" xfId="1" applyFont="1" applyFill="1" applyAlignment="1"/>
    <xf numFmtId="0" fontId="24" fillId="0" borderId="0" xfId="9" applyFont="1" applyAlignment="1">
      <alignment horizontal="left"/>
    </xf>
    <xf numFmtId="0" fontId="21" fillId="0" borderId="0" xfId="0" applyFont="1"/>
    <xf numFmtId="3" fontId="28" fillId="0" borderId="0" xfId="4" applyNumberFormat="1" applyFont="1" applyAlignment="1" applyProtection="1">
      <alignment horizontal="left" vertical="center"/>
      <protection locked="0"/>
    </xf>
    <xf numFmtId="3" fontId="28" fillId="0" borderId="0" xfId="0" applyNumberFormat="1" applyFont="1" applyAlignment="1">
      <alignment horizontal="center" vertical="center"/>
    </xf>
    <xf numFmtId="0" fontId="27" fillId="0" borderId="0" xfId="0" applyFont="1" applyAlignment="1">
      <alignment horizontal="center" vertical="center"/>
    </xf>
    <xf numFmtId="3" fontId="27" fillId="0" borderId="0" xfId="0" applyNumberFormat="1" applyFont="1" applyAlignment="1">
      <alignment vertical="center"/>
    </xf>
    <xf numFmtId="3" fontId="27" fillId="0" borderId="0" xfId="1" applyNumberFormat="1" applyFont="1" applyFill="1" applyBorder="1" applyAlignment="1">
      <alignment horizontal="center" vertical="center"/>
    </xf>
    <xf numFmtId="9" fontId="27" fillId="0" borderId="0" xfId="1" applyFont="1" applyFill="1" applyBorder="1" applyAlignment="1">
      <alignment horizontal="center" vertical="center"/>
    </xf>
    <xf numFmtId="1" fontId="27" fillId="0" borderId="0" xfId="0" applyNumberFormat="1" applyFont="1" applyAlignment="1">
      <alignment horizontal="left" vertical="center"/>
    </xf>
    <xf numFmtId="3" fontId="27" fillId="0" borderId="0" xfId="0" applyNumberFormat="1" applyFont="1" applyAlignment="1">
      <alignment horizontal="left" vertical="center"/>
    </xf>
    <xf numFmtId="2" fontId="27" fillId="0" borderId="0" xfId="0" applyNumberFormat="1" applyFont="1" applyAlignment="1">
      <alignment horizontal="left" vertical="center"/>
    </xf>
    <xf numFmtId="3" fontId="27" fillId="0" borderId="0" xfId="0" applyNumberFormat="1" applyFont="1" applyAlignment="1">
      <alignment horizontal="center" vertical="center"/>
    </xf>
    <xf numFmtId="3" fontId="28" fillId="0" borderId="0" xfId="4" applyNumberFormat="1" applyFont="1" applyAlignment="1" applyProtection="1">
      <alignment vertical="center"/>
      <protection locked="0"/>
    </xf>
    <xf numFmtId="0" fontId="28" fillId="0" borderId="0" xfId="0" applyFont="1" applyAlignment="1">
      <alignment vertical="center"/>
    </xf>
    <xf numFmtId="0" fontId="27" fillId="0" borderId="0" xfId="9" applyFont="1" applyAlignment="1">
      <alignment horizontal="left"/>
    </xf>
    <xf numFmtId="0" fontId="27" fillId="0" borderId="0" xfId="0" applyFont="1" applyAlignment="1">
      <alignment horizontal="left" vertical="center"/>
    </xf>
    <xf numFmtId="9" fontId="27" fillId="0" borderId="0" xfId="1" applyFont="1" applyFill="1" applyBorder="1" applyAlignment="1">
      <alignment horizontal="right" vertical="center"/>
    </xf>
    <xf numFmtId="3" fontId="36" fillId="0" borderId="0" xfId="0" applyNumberFormat="1" applyFont="1" applyAlignment="1">
      <alignment horizontal="right"/>
    </xf>
    <xf numFmtId="0" fontId="36" fillId="0" borderId="0" xfId="0" applyFont="1" applyAlignment="1">
      <alignment horizontal="left"/>
    </xf>
    <xf numFmtId="0" fontId="27" fillId="0" borderId="0" xfId="0" applyFont="1" applyAlignment="1">
      <alignment vertical="top"/>
    </xf>
    <xf numFmtId="9" fontId="27" fillId="0" borderId="0" xfId="0" applyNumberFormat="1" applyFont="1" applyAlignment="1">
      <alignment vertical="top"/>
    </xf>
    <xf numFmtId="3" fontId="28" fillId="0" borderId="0" xfId="0" applyNumberFormat="1" applyFont="1" applyAlignment="1">
      <alignment vertical="center"/>
    </xf>
    <xf numFmtId="0" fontId="34" fillId="0" borderId="0" xfId="0" applyFont="1" applyAlignment="1">
      <alignment vertical="center"/>
    </xf>
    <xf numFmtId="0" fontId="38" fillId="0" borderId="0" xfId="0" applyFont="1"/>
    <xf numFmtId="0" fontId="43" fillId="0" borderId="0" xfId="0" applyFont="1"/>
    <xf numFmtId="49" fontId="27" fillId="0" borderId="0" xfId="0" applyNumberFormat="1" applyFont="1"/>
    <xf numFmtId="9" fontId="27" fillId="0" borderId="0" xfId="0" applyNumberFormat="1" applyFont="1"/>
    <xf numFmtId="9" fontId="1" fillId="0" borderId="0" xfId="1" applyFont="1" applyFill="1" applyAlignment="1"/>
    <xf numFmtId="3" fontId="27" fillId="0" borderId="0" xfId="0" applyNumberFormat="1" applyFont="1"/>
    <xf numFmtId="9" fontId="27" fillId="0" borderId="0" xfId="1" applyFont="1" applyFill="1" applyBorder="1" applyAlignment="1"/>
    <xf numFmtId="3" fontId="28" fillId="0" borderId="0" xfId="4" applyNumberFormat="1" applyFont="1" applyAlignment="1" applyProtection="1">
      <alignment horizontal="left"/>
      <protection locked="0"/>
    </xf>
    <xf numFmtId="1" fontId="27" fillId="0" borderId="0" xfId="0" applyNumberFormat="1" applyFont="1"/>
    <xf numFmtId="0" fontId="36" fillId="0" borderId="0" xfId="0" applyFont="1"/>
    <xf numFmtId="3" fontId="36" fillId="0" borderId="0" xfId="0" applyNumberFormat="1" applyFont="1"/>
    <xf numFmtId="0" fontId="11" fillId="0" borderId="0" xfId="0" applyFont="1"/>
    <xf numFmtId="0" fontId="37" fillId="0" borderId="0" xfId="0" applyFont="1"/>
    <xf numFmtId="0" fontId="39" fillId="0" borderId="0" xfId="0" applyFont="1"/>
    <xf numFmtId="9" fontId="28" fillId="0" borderId="0" xfId="0" applyNumberFormat="1" applyFont="1"/>
    <xf numFmtId="9" fontId="31" fillId="2" borderId="0" xfId="4" applyNumberFormat="1" applyFont="1" applyFill="1" applyAlignment="1" applyProtection="1">
      <alignment wrapText="1"/>
      <protection locked="0"/>
    </xf>
    <xf numFmtId="9" fontId="4" fillId="2" borderId="0" xfId="4" applyNumberFormat="1" applyFont="1" applyFill="1" applyAlignment="1" applyProtection="1">
      <alignment horizontal="left" wrapText="1"/>
      <protection locked="0"/>
    </xf>
    <xf numFmtId="9" fontId="4" fillId="2" borderId="0" xfId="4" applyNumberFormat="1" applyFont="1" applyFill="1" applyAlignment="1" applyProtection="1">
      <alignment wrapText="1"/>
      <protection locked="0"/>
    </xf>
    <xf numFmtId="9" fontId="1" fillId="2" borderId="0" xfId="0" applyNumberFormat="1" applyFont="1" applyFill="1"/>
    <xf numFmtId="9" fontId="34" fillId="2" borderId="0" xfId="0" applyNumberFormat="1" applyFont="1" applyFill="1" applyAlignment="1">
      <alignment horizontal="left" wrapText="1"/>
    </xf>
    <xf numFmtId="9" fontId="4" fillId="2" borderId="0" xfId="4" applyNumberFormat="1" applyFont="1" applyFill="1" applyAlignment="1" applyProtection="1">
      <alignment horizontal="center" vertical="center" wrapText="1"/>
      <protection locked="0"/>
    </xf>
    <xf numFmtId="9" fontId="1" fillId="0" borderId="2" xfId="1" applyFont="1" applyBorder="1" applyAlignment="1">
      <alignment horizontal="center" vertical="center"/>
    </xf>
    <xf numFmtId="9" fontId="11" fillId="2" borderId="0" xfId="0" applyNumberFormat="1" applyFont="1" applyFill="1" applyAlignment="1">
      <alignment horizontal="left" wrapText="1"/>
    </xf>
    <xf numFmtId="9" fontId="11" fillId="2" borderId="0" xfId="0" applyNumberFormat="1" applyFont="1" applyFill="1" applyAlignment="1">
      <alignment wrapText="1"/>
    </xf>
    <xf numFmtId="9" fontId="1" fillId="2" borderId="0" xfId="4" applyNumberFormat="1" applyFont="1" applyFill="1" applyAlignment="1" applyProtection="1">
      <alignment horizontal="center" vertical="center" wrapText="1"/>
      <protection locked="0"/>
    </xf>
    <xf numFmtId="9" fontId="1" fillId="0" borderId="3" xfId="1" applyFont="1" applyBorder="1" applyAlignment="1">
      <alignment horizontal="center" vertical="center"/>
    </xf>
    <xf numFmtId="9" fontId="1" fillId="0" borderId="47" xfId="1" applyFont="1" applyBorder="1" applyAlignment="1">
      <alignment horizontal="center" vertical="center"/>
    </xf>
    <xf numFmtId="9" fontId="1" fillId="0" borderId="51" xfId="1" applyFont="1" applyBorder="1" applyAlignment="1">
      <alignment horizontal="center" vertical="center"/>
    </xf>
    <xf numFmtId="9" fontId="1" fillId="0" borderId="1" xfId="1" applyFont="1" applyBorder="1" applyAlignment="1">
      <alignment horizontal="center" vertical="center"/>
    </xf>
    <xf numFmtId="9" fontId="4" fillId="2" borderId="0" xfId="0" applyNumberFormat="1" applyFont="1" applyFill="1" applyAlignment="1">
      <alignment horizontal="center"/>
    </xf>
    <xf numFmtId="9" fontId="1" fillId="2" borderId="0" xfId="0" applyNumberFormat="1" applyFont="1" applyFill="1" applyAlignment="1">
      <alignment horizontal="left" vertical="center" wrapText="1"/>
    </xf>
    <xf numFmtId="3" fontId="13" fillId="3" borderId="35" xfId="0" applyNumberFormat="1" applyFont="1" applyFill="1" applyBorder="1" applyAlignment="1">
      <alignment horizontal="center" vertical="center"/>
    </xf>
    <xf numFmtId="3" fontId="13" fillId="3" borderId="33" xfId="0" applyNumberFormat="1" applyFont="1" applyFill="1" applyBorder="1" applyAlignment="1">
      <alignment horizontal="center" vertical="center"/>
    </xf>
    <xf numFmtId="3" fontId="13" fillId="3" borderId="34" xfId="0" applyNumberFormat="1" applyFont="1" applyFill="1" applyBorder="1" applyAlignment="1">
      <alignment horizontal="center" vertical="center"/>
    </xf>
    <xf numFmtId="3" fontId="8" fillId="4" borderId="54" xfId="0" applyNumberFormat="1" applyFont="1" applyFill="1" applyBorder="1" applyAlignment="1">
      <alignment horizontal="center" vertical="center" wrapText="1"/>
    </xf>
    <xf numFmtId="3" fontId="8" fillId="4" borderId="38" xfId="0" applyNumberFormat="1" applyFont="1" applyFill="1" applyBorder="1" applyAlignment="1">
      <alignment horizontal="center" vertical="center" wrapText="1"/>
    </xf>
    <xf numFmtId="0" fontId="11" fillId="2" borderId="7" xfId="0" applyFont="1" applyFill="1" applyBorder="1" applyAlignment="1">
      <alignment horizontal="left" wrapText="1"/>
    </xf>
    <xf numFmtId="1" fontId="1" fillId="0" borderId="30" xfId="1" applyNumberFormat="1" applyFont="1" applyBorder="1" applyAlignment="1">
      <alignment horizontal="center" vertical="center"/>
    </xf>
    <xf numFmtId="1" fontId="1" fillId="0" borderId="29" xfId="1" applyNumberFormat="1" applyFont="1" applyBorder="1" applyAlignment="1">
      <alignment horizontal="center" vertical="center"/>
    </xf>
    <xf numFmtId="1" fontId="1" fillId="0" borderId="26" xfId="1" applyNumberFormat="1" applyFont="1" applyBorder="1" applyAlignment="1">
      <alignment horizontal="center" vertical="center"/>
    </xf>
    <xf numFmtId="1" fontId="1" fillId="0" borderId="27" xfId="1" applyNumberFormat="1" applyFont="1" applyBorder="1" applyAlignment="1">
      <alignment horizontal="center" vertical="center"/>
    </xf>
    <xf numFmtId="3" fontId="13" fillId="3" borderId="33" xfId="0" applyNumberFormat="1" applyFont="1" applyFill="1" applyBorder="1" applyAlignment="1">
      <alignment vertical="center"/>
    </xf>
    <xf numFmtId="0" fontId="8" fillId="4" borderId="23" xfId="0" applyFont="1" applyFill="1" applyBorder="1" applyAlignment="1">
      <alignment horizontal="center" vertical="center" wrapText="1"/>
    </xf>
    <xf numFmtId="0" fontId="8" fillId="4" borderId="70" xfId="0" applyFont="1" applyFill="1" applyBorder="1" applyAlignment="1">
      <alignment horizontal="center" vertical="center" wrapText="1"/>
    </xf>
    <xf numFmtId="0" fontId="13" fillId="4" borderId="0" xfId="0" applyFont="1" applyFill="1" applyAlignment="1">
      <alignment horizontal="center" vertical="center" wrapText="1"/>
    </xf>
    <xf numFmtId="0" fontId="13" fillId="4" borderId="70" xfId="0" applyFont="1" applyFill="1" applyBorder="1" applyAlignment="1">
      <alignment horizontal="center" vertical="center" wrapText="1"/>
    </xf>
    <xf numFmtId="3" fontId="18" fillId="4" borderId="4" xfId="4" applyNumberFormat="1" applyFont="1" applyFill="1" applyBorder="1" applyAlignment="1" applyProtection="1">
      <alignment horizontal="left" vertical="center" wrapText="1"/>
      <protection locked="0"/>
    </xf>
    <xf numFmtId="0" fontId="45" fillId="0" borderId="0" xfId="0" applyFont="1" applyAlignment="1">
      <alignment horizontal="left"/>
    </xf>
    <xf numFmtId="0" fontId="44" fillId="5" borderId="0" xfId="0" applyFont="1" applyFill="1"/>
    <xf numFmtId="0" fontId="44" fillId="0" borderId="0" xfId="0" applyFont="1"/>
    <xf numFmtId="3" fontId="8" fillId="4" borderId="65" xfId="0" applyNumberFormat="1" applyFont="1" applyFill="1" applyBorder="1" applyAlignment="1">
      <alignment horizontal="center" vertical="center" wrapText="1"/>
    </xf>
    <xf numFmtId="3" fontId="8" fillId="4" borderId="4" xfId="4" applyNumberFormat="1" applyFont="1" applyFill="1" applyBorder="1" applyAlignment="1" applyProtection="1">
      <alignment wrapText="1"/>
      <protection locked="0"/>
    </xf>
    <xf numFmtId="0" fontId="44" fillId="5" borderId="0" xfId="0" applyFont="1" applyFill="1" applyAlignment="1">
      <alignment horizontal="left"/>
    </xf>
    <xf numFmtId="9" fontId="44" fillId="5" borderId="0" xfId="1" applyFont="1" applyFill="1"/>
    <xf numFmtId="0" fontId="44" fillId="5" borderId="0" xfId="0" applyFont="1" applyFill="1" applyAlignment="1">
      <alignment horizontal="left" vertical="center"/>
    </xf>
    <xf numFmtId="3" fontId="8" fillId="4" borderId="4" xfId="4" applyNumberFormat="1" applyFont="1" applyFill="1" applyBorder="1" applyAlignment="1" applyProtection="1">
      <alignment horizontal="left" vertical="center" wrapText="1"/>
      <protection locked="0"/>
    </xf>
    <xf numFmtId="3" fontId="8" fillId="4" borderId="4" xfId="4" applyNumberFormat="1" applyFont="1" applyFill="1" applyBorder="1" applyAlignment="1" applyProtection="1">
      <alignment vertical="center" wrapText="1"/>
      <protection locked="0"/>
    </xf>
    <xf numFmtId="3" fontId="4" fillId="2" borderId="0" xfId="4" applyNumberFormat="1" applyFont="1" applyFill="1" applyAlignment="1" applyProtection="1">
      <alignment vertical="center" wrapText="1"/>
      <protection locked="0"/>
    </xf>
    <xf numFmtId="3" fontId="8" fillId="4" borderId="64" xfId="4" applyNumberFormat="1" applyFont="1" applyFill="1" applyBorder="1" applyAlignment="1" applyProtection="1">
      <alignment vertical="center" wrapText="1"/>
      <protection locked="0"/>
    </xf>
    <xf numFmtId="0" fontId="44" fillId="0" borderId="0" xfId="0" applyFont="1" applyAlignment="1">
      <alignment horizontal="left"/>
    </xf>
    <xf numFmtId="9" fontId="44" fillId="0" borderId="0" xfId="1" applyFont="1" applyFill="1"/>
    <xf numFmtId="0" fontId="44" fillId="0" borderId="0" xfId="0" applyFont="1" applyAlignment="1">
      <alignment horizontal="left" vertical="center"/>
    </xf>
    <xf numFmtId="0" fontId="1" fillId="2" borderId="71" xfId="0" applyFont="1" applyFill="1" applyBorder="1" applyAlignment="1">
      <alignment vertical="center" wrapText="1"/>
    </xf>
    <xf numFmtId="3" fontId="1" fillId="0" borderId="72" xfId="1" applyNumberFormat="1" applyFont="1" applyBorder="1" applyAlignment="1">
      <alignment horizontal="center" vertical="center"/>
    </xf>
    <xf numFmtId="9" fontId="1" fillId="0" borderId="73" xfId="1" applyFont="1" applyBorder="1" applyAlignment="1">
      <alignment horizontal="center" vertical="center"/>
    </xf>
    <xf numFmtId="3" fontId="1" fillId="0" borderId="74" xfId="1" applyNumberFormat="1" applyFont="1" applyBorder="1" applyAlignment="1">
      <alignment horizontal="center" vertical="center"/>
    </xf>
    <xf numFmtId="3" fontId="1" fillId="0" borderId="75" xfId="1" applyNumberFormat="1" applyFont="1" applyBorder="1" applyAlignment="1">
      <alignment horizontal="center" vertical="center"/>
    </xf>
    <xf numFmtId="1" fontId="1" fillId="2" borderId="73" xfId="0" applyNumberFormat="1" applyFont="1" applyFill="1" applyBorder="1" applyAlignment="1">
      <alignment horizontal="left" vertical="center"/>
    </xf>
    <xf numFmtId="3" fontId="1" fillId="0" borderId="76" xfId="1" applyNumberFormat="1" applyFont="1" applyBorder="1" applyAlignment="1">
      <alignment horizontal="center" vertical="center"/>
    </xf>
    <xf numFmtId="1" fontId="1" fillId="2" borderId="57" xfId="0" applyNumberFormat="1" applyFont="1" applyFill="1" applyBorder="1" applyAlignment="1">
      <alignment horizontal="left" vertical="center"/>
    </xf>
    <xf numFmtId="3" fontId="4" fillId="0" borderId="0" xfId="4" applyNumberFormat="1" applyFont="1" applyAlignment="1" applyProtection="1">
      <alignment horizontal="center" wrapText="1"/>
      <protection locked="0"/>
    </xf>
    <xf numFmtId="0" fontId="1" fillId="0" borderId="0" xfId="0" applyFont="1" applyAlignment="1">
      <alignment horizontal="left" wrapText="1"/>
    </xf>
    <xf numFmtId="0" fontId="1" fillId="0" borderId="0" xfId="0" quotePrefix="1" applyFont="1" applyAlignment="1">
      <alignment horizontal="left" vertical="center" wrapText="1" indent="5"/>
    </xf>
    <xf numFmtId="0" fontId="1" fillId="0" borderId="0" xfId="0" applyFont="1" applyAlignment="1">
      <alignment horizontal="left" vertical="center" wrapText="1" indent="5"/>
    </xf>
    <xf numFmtId="3" fontId="12" fillId="0" borderId="0" xfId="4" applyNumberFormat="1" applyFont="1" applyAlignment="1" applyProtection="1">
      <alignment horizontal="left" wrapText="1"/>
      <protection locked="0"/>
    </xf>
    <xf numFmtId="0" fontId="1" fillId="0" borderId="0" xfId="0" applyFont="1" applyAlignment="1">
      <alignment horizontal="left" vertical="center" wrapText="1" indent="2"/>
    </xf>
    <xf numFmtId="0" fontId="1" fillId="0" borderId="0" xfId="0" applyFont="1" applyAlignment="1">
      <alignment horizontal="left" vertical="center" wrapText="1"/>
    </xf>
    <xf numFmtId="3" fontId="1" fillId="0" borderId="0" xfId="4" applyNumberFormat="1" applyFont="1" applyAlignment="1" applyProtection="1">
      <alignment horizontal="left" vertical="center" wrapText="1"/>
      <protection locked="0"/>
    </xf>
    <xf numFmtId="3" fontId="12" fillId="0" borderId="0" xfId="4" applyNumberFormat="1" applyFont="1" applyAlignment="1" applyProtection="1">
      <alignment horizontal="left" vertical="center" wrapText="1"/>
      <protection locked="0"/>
    </xf>
    <xf numFmtId="0" fontId="15" fillId="4" borderId="0" xfId="0" applyFont="1" applyFill="1" applyAlignment="1">
      <alignment horizontal="left" vertical="center"/>
    </xf>
    <xf numFmtId="0" fontId="1" fillId="0" borderId="0" xfId="0" applyFont="1" applyAlignment="1">
      <alignment horizontal="left" vertical="top" wrapText="1"/>
    </xf>
    <xf numFmtId="3" fontId="7" fillId="0" borderId="0" xfId="4" applyNumberFormat="1" applyFont="1" applyAlignment="1" applyProtection="1">
      <alignment horizontal="left" vertical="center" wrapText="1"/>
      <protection locked="0"/>
    </xf>
    <xf numFmtId="14" fontId="7" fillId="0" borderId="0" xfId="4" applyNumberFormat="1" applyFont="1" applyAlignment="1" applyProtection="1">
      <alignment horizontal="left" vertical="center" wrapText="1"/>
      <protection locked="0"/>
    </xf>
    <xf numFmtId="3" fontId="35" fillId="0" borderId="0" xfId="4" applyNumberFormat="1" applyFont="1" applyAlignment="1" applyProtection="1">
      <alignment horizontal="left" vertical="center" wrapText="1"/>
      <protection locked="0"/>
    </xf>
    <xf numFmtId="0" fontId="9" fillId="2" borderId="7" xfId="0" applyFont="1" applyFill="1" applyBorder="1" applyAlignment="1">
      <alignment horizontal="left" wrapText="1"/>
    </xf>
    <xf numFmtId="3" fontId="20" fillId="2" borderId="0" xfId="4" applyNumberFormat="1" applyFont="1" applyFill="1" applyAlignment="1" applyProtection="1">
      <alignment horizontal="left" vertical="top" wrapText="1"/>
      <protection locked="0"/>
    </xf>
    <xf numFmtId="0" fontId="1" fillId="2" borderId="0" xfId="0" applyFont="1" applyFill="1" applyAlignment="1">
      <alignment horizontal="left" vertical="center" wrapText="1"/>
    </xf>
    <xf numFmtId="0" fontId="1" fillId="2" borderId="0" xfId="0" applyFont="1" applyFill="1" applyAlignment="1">
      <alignment horizontal="left" vertical="center" wrapText="1" indent="2"/>
    </xf>
    <xf numFmtId="3" fontId="34" fillId="2" borderId="0" xfId="4" applyNumberFormat="1" applyFont="1" applyFill="1" applyAlignment="1" applyProtection="1">
      <alignment horizontal="left" vertical="top" wrapText="1"/>
      <protection locked="0"/>
    </xf>
    <xf numFmtId="0" fontId="15" fillId="4" borderId="0" xfId="0" applyFont="1" applyFill="1" applyAlignment="1">
      <alignment horizontal="left" vertical="center" wrapText="1"/>
    </xf>
    <xf numFmtId="3" fontId="4" fillId="2" borderId="0" xfId="4" applyNumberFormat="1" applyFont="1" applyFill="1" applyAlignment="1" applyProtection="1">
      <alignment horizontal="left" wrapText="1"/>
      <protection locked="0"/>
    </xf>
    <xf numFmtId="0" fontId="34" fillId="2" borderId="0" xfId="0" applyFont="1" applyFill="1" applyAlignment="1">
      <alignment wrapText="1"/>
    </xf>
    <xf numFmtId="3" fontId="34" fillId="2" borderId="7" xfId="4" applyNumberFormat="1" applyFont="1" applyFill="1" applyBorder="1" applyAlignment="1" applyProtection="1">
      <alignment horizontal="left" vertical="top" wrapText="1"/>
      <protection locked="0"/>
    </xf>
    <xf numFmtId="0" fontId="46" fillId="2" borderId="0" xfId="0" applyFont="1" applyFill="1"/>
    <xf numFmtId="0" fontId="34" fillId="2" borderId="7" xfId="0" applyFont="1" applyFill="1" applyBorder="1" applyAlignment="1">
      <alignment horizontal="left" wrapText="1"/>
    </xf>
    <xf numFmtId="0" fontId="34" fillId="2" borderId="0" xfId="0" applyFont="1" applyFill="1" applyAlignment="1">
      <alignment horizontal="left" vertical="center" wrapText="1"/>
    </xf>
    <xf numFmtId="0" fontId="34" fillId="2" borderId="7" xfId="0" applyFont="1" applyFill="1" applyBorder="1" applyAlignment="1">
      <alignment horizontal="left" vertical="top" wrapText="1"/>
    </xf>
    <xf numFmtId="0" fontId="1" fillId="2" borderId="0" xfId="0" applyFont="1" applyFill="1" applyAlignment="1">
      <alignment horizontal="left" vertical="center" wrapText="1" indent="4"/>
    </xf>
    <xf numFmtId="0" fontId="11" fillId="2" borderId="0" xfId="0" applyFont="1" applyFill="1" applyAlignment="1">
      <alignment horizontal="left" wrapText="1"/>
    </xf>
    <xf numFmtId="0" fontId="11" fillId="2" borderId="67" xfId="0" applyFont="1" applyFill="1" applyBorder="1" applyAlignment="1">
      <alignment horizontal="left" vertical="center" wrapText="1"/>
    </xf>
    <xf numFmtId="0" fontId="11" fillId="2" borderId="68" xfId="0" applyFont="1" applyFill="1" applyBorder="1" applyAlignment="1">
      <alignment horizontal="left" vertical="center" wrapText="1"/>
    </xf>
    <xf numFmtId="0" fontId="11" fillId="2" borderId="69" xfId="0" applyFont="1" applyFill="1" applyBorder="1" applyAlignment="1">
      <alignment horizontal="left" vertical="center" wrapText="1"/>
    </xf>
    <xf numFmtId="3" fontId="12" fillId="2" borderId="0" xfId="4" applyNumberFormat="1" applyFont="1" applyFill="1" applyAlignment="1" applyProtection="1">
      <alignment horizontal="left" wrapText="1"/>
      <protection locked="0"/>
    </xf>
    <xf numFmtId="0" fontId="22" fillId="2" borderId="0" xfId="0" applyFont="1" applyFill="1" applyAlignment="1">
      <alignment horizontal="left" vertical="center" wrapText="1"/>
    </xf>
    <xf numFmtId="0" fontId="21" fillId="2" borderId="0" xfId="0" applyFont="1" applyFill="1" applyAlignment="1">
      <alignment horizontal="left" vertical="center" wrapText="1"/>
    </xf>
    <xf numFmtId="3" fontId="28" fillId="0" borderId="0" xfId="0" applyNumberFormat="1" applyFont="1" applyAlignment="1">
      <alignment horizontal="left" vertical="center"/>
    </xf>
    <xf numFmtId="3" fontId="28" fillId="0" borderId="0" xfId="0" applyNumberFormat="1" applyFont="1" applyAlignment="1">
      <alignment horizontal="center" vertical="center"/>
    </xf>
  </cellXfs>
  <cellStyles count="10">
    <cellStyle name="Normal" xfId="0" builtinId="0"/>
    <cellStyle name="Normal 2" xfId="5" xr:uid="{00000000-0005-0000-0000-000002000000}"/>
    <cellStyle name="Normal 3" xfId="8" xr:uid="{0884DA5F-8A2D-4A5D-984D-C51870119212}"/>
    <cellStyle name="Normal 6" xfId="4" xr:uid="{00000000-0005-0000-0000-000003000000}"/>
    <cellStyle name="Normal 7" xfId="3" xr:uid="{00000000-0005-0000-0000-000004000000}"/>
    <cellStyle name="Normal 8" xfId="2" xr:uid="{00000000-0005-0000-0000-000005000000}"/>
    <cellStyle name="Normal_Census_1" xfId="9" xr:uid="{5C7AD5AA-62BE-49E1-9EEE-BF359C8D5DAE}"/>
    <cellStyle name="Percent" xfId="1" builtinId="5"/>
    <cellStyle name="Percent 2" xfId="6" xr:uid="{00000000-0005-0000-0000-000009000000}"/>
    <cellStyle name="Title 2" xfId="7" xr:uid="{00000000-0005-0000-0000-00000A000000}"/>
  </cellStyles>
  <dxfs count="190">
    <dxf>
      <fill>
        <patternFill>
          <bgColor theme="7" tint="0.79998168889431442"/>
        </patternFill>
      </fill>
    </dxf>
    <dxf>
      <fill>
        <patternFill>
          <bgColor theme="6" tint="0.79998168889431442"/>
        </patternFill>
      </fill>
    </dxf>
    <dxf>
      <font>
        <b/>
        <i val="0"/>
        <color theme="7"/>
      </font>
    </dxf>
    <dxf>
      <font>
        <b/>
        <i val="0"/>
        <color theme="6"/>
      </font>
      <fill>
        <patternFill patternType="none">
          <bgColor auto="1"/>
        </patternFill>
      </fill>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ont>
        <b/>
        <i val="0"/>
        <color theme="5"/>
      </font>
    </dxf>
    <dxf>
      <font>
        <b/>
        <i val="0"/>
        <color theme="8"/>
      </font>
      <fill>
        <patternFill patternType="none">
          <bgColor auto="1"/>
        </patternFill>
      </fill>
    </dxf>
    <dxf>
      <font>
        <b/>
        <i val="0"/>
        <color theme="5"/>
      </font>
    </dxf>
    <dxf>
      <font>
        <b/>
        <i val="0"/>
        <color theme="8"/>
      </font>
      <fill>
        <patternFill patternType="none">
          <bgColor auto="1"/>
        </patternFill>
      </fill>
    </dxf>
    <dxf>
      <font>
        <b/>
        <i val="0"/>
        <color theme="5"/>
      </font>
    </dxf>
    <dxf>
      <font>
        <b/>
        <i val="0"/>
        <color theme="8"/>
      </font>
      <fill>
        <patternFill patternType="none">
          <bgColor auto="1"/>
        </patternFill>
      </fill>
    </dxf>
    <dxf>
      <font>
        <b/>
        <i val="0"/>
        <color theme="5"/>
      </font>
    </dxf>
    <dxf>
      <font>
        <b/>
        <i val="0"/>
        <color theme="8"/>
      </font>
      <fill>
        <patternFill patternType="none">
          <bgColor auto="1"/>
        </patternFill>
      </fill>
    </dxf>
    <dxf>
      <font>
        <b/>
        <i val="0"/>
        <color theme="5"/>
      </font>
    </dxf>
    <dxf>
      <font>
        <b/>
        <i val="0"/>
        <color theme="8"/>
      </font>
      <fill>
        <patternFill patternType="none">
          <bgColor auto="1"/>
        </patternFill>
      </fill>
    </dxf>
    <dxf>
      <font>
        <b/>
        <i val="0"/>
        <color theme="5"/>
      </font>
    </dxf>
    <dxf>
      <font>
        <b/>
        <i val="0"/>
        <color theme="8"/>
      </font>
      <fill>
        <patternFill patternType="none">
          <bgColor auto="1"/>
        </patternFill>
      </fill>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ont>
        <b/>
        <i val="0"/>
        <color theme="8"/>
      </font>
      <fill>
        <patternFill patternType="none">
          <bgColor auto="1"/>
        </patternFill>
      </fill>
    </dxf>
    <dxf>
      <font>
        <b/>
        <i val="0"/>
        <color theme="5"/>
      </font>
    </dxf>
    <dxf>
      <font>
        <b/>
        <i val="0"/>
        <color theme="8"/>
      </font>
      <fill>
        <patternFill patternType="none">
          <bgColor auto="1"/>
        </patternFill>
      </fill>
    </dxf>
    <dxf>
      <font>
        <b/>
        <i val="0"/>
        <color theme="5"/>
      </font>
    </dxf>
    <dxf>
      <font>
        <b/>
        <i val="0"/>
        <color theme="8"/>
      </font>
      <fill>
        <patternFill patternType="none">
          <bgColor auto="1"/>
        </patternFill>
      </fill>
    </dxf>
    <dxf>
      <font>
        <b/>
        <i val="0"/>
        <color theme="5"/>
      </font>
    </dxf>
    <dxf>
      <font>
        <b/>
        <i val="0"/>
        <color theme="8"/>
      </font>
      <fill>
        <patternFill patternType="none">
          <bgColor auto="1"/>
        </patternFill>
      </fill>
    </dxf>
    <dxf>
      <font>
        <b/>
        <i val="0"/>
        <color theme="5"/>
      </font>
    </dxf>
    <dxf>
      <font>
        <b/>
        <i val="0"/>
        <color theme="5"/>
      </font>
    </dxf>
    <dxf>
      <font>
        <b/>
        <i val="0"/>
        <color theme="8"/>
      </font>
      <fill>
        <patternFill patternType="none">
          <bgColor auto="1"/>
        </patternFill>
      </fill>
    </dxf>
    <dxf>
      <font>
        <b/>
        <i val="0"/>
        <color theme="8"/>
      </font>
      <fill>
        <patternFill patternType="none">
          <bgColor auto="1"/>
        </patternFill>
      </fill>
    </dxf>
    <dxf>
      <font>
        <b/>
        <i val="0"/>
        <color theme="5"/>
      </font>
    </dxf>
    <dxf>
      <font>
        <b/>
        <i val="0"/>
        <color theme="8"/>
      </font>
      <fill>
        <patternFill patternType="none">
          <bgColor auto="1"/>
        </patternFill>
      </fill>
    </dxf>
    <dxf>
      <font>
        <b/>
        <i val="0"/>
        <color theme="5"/>
      </font>
    </dxf>
    <dxf>
      <font>
        <b/>
        <i val="0"/>
        <color theme="8"/>
      </font>
      <fill>
        <patternFill patternType="none">
          <bgColor auto="1"/>
        </patternFill>
      </fill>
    </dxf>
    <dxf>
      <font>
        <b/>
        <i val="0"/>
        <color theme="5"/>
      </font>
    </dxf>
    <dxf>
      <font>
        <b/>
        <i val="0"/>
        <color theme="5"/>
      </font>
    </dxf>
    <dxf>
      <font>
        <b/>
        <i val="0"/>
        <color theme="8"/>
      </font>
      <fill>
        <patternFill patternType="none">
          <bgColor auto="1"/>
        </patternFill>
      </fill>
    </dxf>
    <dxf>
      <font>
        <b/>
        <i val="0"/>
        <color theme="5"/>
      </font>
    </dxf>
    <dxf>
      <font>
        <b/>
        <i val="0"/>
        <color theme="8"/>
      </font>
      <fill>
        <patternFill patternType="none">
          <bgColor auto="1"/>
        </patternFill>
      </fill>
    </dxf>
    <dxf>
      <font>
        <b/>
        <i val="0"/>
        <color theme="5"/>
      </font>
    </dxf>
    <dxf>
      <font>
        <b/>
        <i val="0"/>
        <color theme="8"/>
      </font>
      <fill>
        <patternFill patternType="none">
          <bgColor auto="1"/>
        </patternFill>
      </fill>
    </dxf>
    <dxf>
      <font>
        <b/>
        <i val="0"/>
        <color theme="8"/>
      </font>
      <fill>
        <patternFill patternType="none">
          <bgColor auto="1"/>
        </patternFill>
      </fill>
    </dxf>
    <dxf>
      <font>
        <b/>
        <i val="0"/>
        <color theme="5"/>
      </font>
    </dxf>
    <dxf>
      <font>
        <b/>
        <i val="0"/>
        <color theme="5"/>
      </font>
    </dxf>
    <dxf>
      <font>
        <b/>
        <i val="0"/>
        <color theme="8"/>
      </font>
      <fill>
        <patternFill patternType="none">
          <bgColor auto="1"/>
        </patternFill>
      </fill>
    </dxf>
    <dxf>
      <font>
        <b/>
        <i val="0"/>
        <color theme="5"/>
      </font>
    </dxf>
    <dxf>
      <font>
        <b/>
        <i val="0"/>
        <color theme="8"/>
      </font>
      <fill>
        <patternFill patternType="none">
          <bgColor auto="1"/>
        </patternFill>
      </fill>
    </dxf>
    <dxf>
      <font>
        <b/>
        <i val="0"/>
        <color rgb="FFFF0000"/>
      </font>
    </dxf>
    <dxf>
      <font>
        <b/>
        <i val="0"/>
        <color rgb="FF0070C0"/>
      </font>
    </dxf>
    <dxf>
      <font>
        <b/>
        <i val="0"/>
        <color theme="5"/>
      </font>
    </dxf>
    <dxf>
      <font>
        <b/>
        <i val="0"/>
        <color theme="8"/>
      </font>
      <fill>
        <patternFill patternType="none">
          <bgColor auto="1"/>
        </patternFill>
      </fill>
    </dxf>
    <dxf>
      <font>
        <b/>
        <i val="0"/>
        <color theme="8"/>
      </font>
      <fill>
        <patternFill patternType="none">
          <bgColor auto="1"/>
        </patternFill>
      </fill>
    </dxf>
    <dxf>
      <font>
        <b/>
        <i val="0"/>
        <color theme="5"/>
      </font>
    </dxf>
    <dxf>
      <font>
        <b/>
        <i val="0"/>
        <color theme="5"/>
      </font>
    </dxf>
    <dxf>
      <font>
        <b/>
        <i val="0"/>
        <color theme="8"/>
      </font>
      <fill>
        <patternFill patternType="none">
          <bgColor auto="1"/>
        </patternFill>
      </fill>
    </dxf>
    <dxf>
      <font>
        <b/>
        <i val="0"/>
        <color theme="5"/>
      </font>
    </dxf>
    <dxf>
      <font>
        <b/>
        <i val="0"/>
        <color theme="8"/>
      </font>
      <fill>
        <patternFill patternType="none">
          <bgColor auto="1"/>
        </patternFill>
      </fill>
    </dxf>
    <dxf>
      <font>
        <b/>
        <i val="0"/>
        <color theme="8"/>
      </font>
      <fill>
        <patternFill patternType="none">
          <bgColor auto="1"/>
        </patternFill>
      </fill>
    </dxf>
    <dxf>
      <font>
        <b/>
        <i val="0"/>
        <color theme="5"/>
      </font>
    </dxf>
    <dxf>
      <font>
        <b/>
        <i val="0"/>
        <color theme="5"/>
      </font>
    </dxf>
    <dxf>
      <font>
        <b/>
        <i val="0"/>
        <color theme="8"/>
      </font>
      <fill>
        <patternFill patternType="none">
          <bgColor auto="1"/>
        </patternFill>
      </fill>
    </dxf>
    <dxf>
      <font>
        <b/>
        <i val="0"/>
        <color theme="8"/>
      </font>
      <fill>
        <patternFill patternType="none">
          <bgColor auto="1"/>
        </patternFill>
      </fill>
    </dxf>
    <dxf>
      <font>
        <b/>
        <i val="0"/>
        <color theme="5"/>
      </font>
    </dxf>
    <dxf>
      <font>
        <b/>
        <i val="0"/>
        <color theme="8"/>
      </font>
      <fill>
        <patternFill patternType="none">
          <bgColor auto="1"/>
        </patternFill>
      </fill>
    </dxf>
    <dxf>
      <font>
        <b/>
        <i val="0"/>
        <color theme="5"/>
      </font>
    </dxf>
    <dxf>
      <font>
        <b/>
        <i val="0"/>
        <color theme="5"/>
      </font>
    </dxf>
    <dxf>
      <font>
        <b/>
        <i val="0"/>
        <color theme="8"/>
      </font>
      <fill>
        <patternFill patternType="none">
          <bgColor auto="1"/>
        </patternFill>
      </fill>
    </dxf>
    <dxf>
      <font>
        <b/>
        <i val="0"/>
        <color theme="8"/>
      </font>
      <fill>
        <patternFill patternType="none">
          <bgColor auto="1"/>
        </patternFill>
      </fill>
    </dxf>
    <dxf>
      <font>
        <b/>
        <i val="0"/>
        <color theme="5"/>
      </font>
    </dxf>
    <dxf>
      <font>
        <b/>
        <i val="0"/>
        <color theme="5"/>
      </font>
    </dxf>
    <dxf>
      <font>
        <b/>
        <i val="0"/>
        <color theme="8"/>
      </font>
      <fill>
        <patternFill patternType="none">
          <bgColor auto="1"/>
        </patternFill>
      </fill>
    </dxf>
    <dxf>
      <font>
        <b/>
        <i val="0"/>
        <color theme="5"/>
      </font>
    </dxf>
    <dxf>
      <font>
        <b/>
        <i val="0"/>
        <color theme="8"/>
      </font>
      <fill>
        <patternFill patternType="none">
          <bgColor auto="1"/>
        </patternFill>
      </fill>
    </dxf>
    <dxf>
      <font>
        <b/>
        <i val="0"/>
        <color theme="5"/>
      </font>
    </dxf>
    <dxf>
      <font>
        <b/>
        <i val="0"/>
        <color theme="8"/>
      </font>
      <fill>
        <patternFill patternType="none">
          <bgColor auto="1"/>
        </patternFill>
      </fill>
    </dxf>
    <dxf>
      <font>
        <b/>
        <i val="0"/>
        <color theme="8"/>
      </font>
      <fill>
        <patternFill patternType="none">
          <bgColor auto="1"/>
        </patternFill>
      </fill>
    </dxf>
    <dxf>
      <font>
        <b/>
        <i val="0"/>
        <color theme="5"/>
      </font>
    </dxf>
    <dxf>
      <font>
        <b/>
        <i val="0"/>
        <color theme="8"/>
      </font>
      <fill>
        <patternFill patternType="none">
          <bgColor auto="1"/>
        </patternFill>
      </fill>
    </dxf>
    <dxf>
      <font>
        <b/>
        <i val="0"/>
        <color theme="5"/>
      </font>
    </dxf>
    <dxf>
      <font>
        <b/>
        <i val="0"/>
        <color theme="5"/>
      </font>
    </dxf>
    <dxf>
      <font>
        <b/>
        <i val="0"/>
        <color theme="8"/>
      </font>
      <fill>
        <patternFill patternType="none">
          <bgColor auto="1"/>
        </patternFill>
      </fill>
    </dxf>
    <dxf>
      <font>
        <b/>
        <i val="0"/>
        <color theme="8"/>
      </font>
      <fill>
        <patternFill patternType="none">
          <bgColor auto="1"/>
        </patternFill>
      </fill>
    </dxf>
    <dxf>
      <font>
        <b/>
        <i val="0"/>
        <color theme="5"/>
      </font>
    </dxf>
    <dxf>
      <font>
        <b/>
        <i val="0"/>
        <color theme="8"/>
      </font>
      <fill>
        <patternFill patternType="none">
          <bgColor auto="1"/>
        </patternFill>
      </fill>
    </dxf>
    <dxf>
      <font>
        <b/>
        <i val="0"/>
        <color theme="5"/>
      </font>
    </dxf>
    <dxf>
      <font>
        <b/>
        <i val="0"/>
        <color theme="5"/>
      </font>
    </dxf>
    <dxf>
      <font>
        <b/>
        <i val="0"/>
        <color theme="8"/>
      </font>
      <fill>
        <patternFill patternType="none">
          <bgColor auto="1"/>
        </patternFill>
      </fill>
    </dxf>
    <dxf>
      <font>
        <b/>
        <i val="0"/>
        <color theme="8"/>
      </font>
      <fill>
        <patternFill patternType="none">
          <bgColor auto="1"/>
        </patternFill>
      </fill>
    </dxf>
    <dxf>
      <font>
        <b/>
        <i val="0"/>
        <color theme="5"/>
      </font>
    </dxf>
    <dxf>
      <font>
        <b/>
        <i val="0"/>
        <color theme="5"/>
      </font>
    </dxf>
    <dxf>
      <font>
        <b/>
        <i val="0"/>
        <color theme="8"/>
      </font>
      <fill>
        <patternFill patternType="none">
          <bgColor auto="1"/>
        </patternFill>
      </fill>
    </dxf>
    <dxf>
      <fill>
        <patternFill patternType="solid">
          <bgColor theme="6" tint="0.79998168889431442"/>
        </patternFill>
      </fill>
      <border>
        <left/>
        <right/>
        <top/>
        <bottom/>
      </border>
    </dxf>
    <dxf>
      <fill>
        <patternFill>
          <bgColor theme="7" tint="0.79998168889431442"/>
        </patternFill>
      </fill>
      <border>
        <left/>
        <right/>
        <top/>
        <bottom/>
        <vertical/>
        <horizontal/>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patternType="solid">
          <bgColor theme="6" tint="0.79998168889431442"/>
        </patternFill>
      </fill>
      <border>
        <left/>
        <right/>
        <top/>
        <bottom/>
      </border>
    </dxf>
    <dxf>
      <fill>
        <patternFill>
          <bgColor theme="7" tint="0.79998168889431442"/>
        </patternFill>
      </fill>
      <border>
        <left/>
        <right/>
        <top/>
        <bottom/>
        <vertical/>
        <horizontal/>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ont>
        <b/>
        <i val="0"/>
        <color theme="7"/>
      </font>
    </dxf>
    <dxf>
      <font>
        <b/>
        <i val="0"/>
        <color theme="6"/>
      </font>
      <fill>
        <patternFill patternType="none">
          <bgColor auto="1"/>
        </patternFill>
      </fill>
    </dxf>
    <dxf>
      <font>
        <b/>
        <i val="0"/>
        <color theme="5"/>
      </font>
    </dxf>
    <dxf>
      <font>
        <b/>
        <i val="0"/>
        <color theme="8"/>
      </font>
      <fill>
        <patternFill patternType="none">
          <bgColor auto="1"/>
        </patternFill>
      </fill>
    </dxf>
    <dxf>
      <font>
        <b/>
        <i val="0"/>
        <color theme="7"/>
      </font>
    </dxf>
    <dxf>
      <font>
        <b/>
        <i val="0"/>
        <color theme="6"/>
      </font>
      <fill>
        <patternFill patternType="none">
          <bgColor auto="1"/>
        </patternFill>
      </fill>
    </dxf>
    <dxf>
      <font>
        <b/>
        <i val="0"/>
        <color theme="5"/>
      </font>
    </dxf>
    <dxf>
      <font>
        <b/>
        <i val="0"/>
        <color theme="8"/>
      </font>
      <fill>
        <patternFill patternType="none">
          <bgColor auto="1"/>
        </patternFill>
      </fill>
    </dxf>
    <dxf>
      <font>
        <b/>
        <i val="0"/>
        <color theme="5"/>
      </font>
    </dxf>
    <dxf>
      <font>
        <b/>
        <i val="0"/>
        <color theme="8"/>
      </font>
      <fill>
        <patternFill patternType="none">
          <bgColor auto="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1812761</xdr:colOff>
      <xdr:row>2</xdr:row>
      <xdr:rowOff>142702</xdr:rowOff>
    </xdr:to>
    <xdr:pic>
      <xdr:nvPicPr>
        <xdr:cNvPr id="2" name="Picture 1" descr="Logo: The Audience Agency">
          <a:extLst>
            <a:ext uri="{FF2B5EF4-FFF2-40B4-BE49-F238E27FC236}">
              <a16:creationId xmlns:a16="http://schemas.microsoft.com/office/drawing/2014/main" id="{00000000-0008-0000-06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47"/>
        <a:stretch/>
      </xdr:blipFill>
      <xdr:spPr>
        <a:xfrm>
          <a:off x="0" y="0"/>
          <a:ext cx="2860511" cy="523702"/>
        </a:xfrm>
        <a:prstGeom prst="rect">
          <a:avLst/>
        </a:prstGeom>
      </xdr:spPr>
    </xdr:pic>
    <xdr:clientData/>
  </xdr:twoCellAnchor>
  <xdr:twoCellAnchor editAs="oneCell">
    <xdr:from>
      <xdr:col>0</xdr:col>
      <xdr:colOff>0</xdr:colOff>
      <xdr:row>16</xdr:row>
      <xdr:rowOff>0</xdr:rowOff>
    </xdr:from>
    <xdr:to>
      <xdr:col>3</xdr:col>
      <xdr:colOff>626745</xdr:colOff>
      <xdr:row>17</xdr:row>
      <xdr:rowOff>2807970</xdr:rowOff>
    </xdr:to>
    <xdr:pic>
      <xdr:nvPicPr>
        <xdr:cNvPr id="4" name="Picture 3" descr="Map of target area">
          <a:extLst>
            <a:ext uri="{FF2B5EF4-FFF2-40B4-BE49-F238E27FC236}">
              <a16:creationId xmlns:a16="http://schemas.microsoft.com/office/drawing/2014/main" id="{B1B1AFCF-9D14-DE05-996B-E968D7F62FA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0" y="2819400"/>
          <a:ext cx="5760720" cy="5760720"/>
        </a:xfrm>
        <a:prstGeom prst="rect">
          <a:avLst/>
        </a:prstGeom>
      </xdr:spPr>
    </xdr:pic>
    <xdr:clientData/>
  </xdr:twoCellAnchor>
  <xdr:twoCellAnchor editAs="oneCell">
    <xdr:from>
      <xdr:col>5</xdr:col>
      <xdr:colOff>0</xdr:colOff>
      <xdr:row>16</xdr:row>
      <xdr:rowOff>0</xdr:rowOff>
    </xdr:from>
    <xdr:to>
      <xdr:col>10</xdr:col>
      <xdr:colOff>1493520</xdr:colOff>
      <xdr:row>17</xdr:row>
      <xdr:rowOff>2807970</xdr:rowOff>
    </xdr:to>
    <xdr:pic>
      <xdr:nvPicPr>
        <xdr:cNvPr id="6" name="Picture 5" descr="Map of base area">
          <a:extLst>
            <a:ext uri="{FF2B5EF4-FFF2-40B4-BE49-F238E27FC236}">
              <a16:creationId xmlns:a16="http://schemas.microsoft.com/office/drawing/2014/main" id="{15864E87-FAEC-6831-88F2-297BB1BAD41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6029325" y="2819400"/>
          <a:ext cx="5760720" cy="57607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145886</xdr:colOff>
      <xdr:row>2</xdr:row>
      <xdr:rowOff>142702</xdr:rowOff>
    </xdr:to>
    <xdr:pic>
      <xdr:nvPicPr>
        <xdr:cNvPr id="2" name="Picture 1" descr="Logo: The Audience Agency">
          <a:extLst>
            <a:ext uri="{FF2B5EF4-FFF2-40B4-BE49-F238E27FC236}">
              <a16:creationId xmlns:a16="http://schemas.microsoft.com/office/drawing/2014/main" id="{04BFC60F-8A0A-4FA6-A774-3277CF3A5C9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47"/>
        <a:stretch/>
      </xdr:blipFill>
      <xdr:spPr>
        <a:xfrm>
          <a:off x="0" y="0"/>
          <a:ext cx="2860511" cy="5237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145886</xdr:colOff>
      <xdr:row>2</xdr:row>
      <xdr:rowOff>142702</xdr:rowOff>
    </xdr:to>
    <xdr:pic>
      <xdr:nvPicPr>
        <xdr:cNvPr id="2" name="Picture 1" descr="Logo: The Audience Agency">
          <a:extLst>
            <a:ext uri="{FF2B5EF4-FFF2-40B4-BE49-F238E27FC236}">
              <a16:creationId xmlns:a16="http://schemas.microsoft.com/office/drawing/2014/main" id="{0E064FA6-B717-4707-AECE-0DC503B645B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47"/>
        <a:stretch/>
      </xdr:blipFill>
      <xdr:spPr>
        <a:xfrm>
          <a:off x="0" y="0"/>
          <a:ext cx="2860511" cy="5237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145886</xdr:colOff>
      <xdr:row>2</xdr:row>
      <xdr:rowOff>142702</xdr:rowOff>
    </xdr:to>
    <xdr:pic>
      <xdr:nvPicPr>
        <xdr:cNvPr id="2" name="Picture 1" descr="Logo: The Audience Agency">
          <a:extLst>
            <a:ext uri="{FF2B5EF4-FFF2-40B4-BE49-F238E27FC236}">
              <a16:creationId xmlns:a16="http://schemas.microsoft.com/office/drawing/2014/main" id="{5AF8955B-820C-48D4-B9EA-BC8970AE912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47"/>
        <a:stretch/>
      </xdr:blipFill>
      <xdr:spPr>
        <a:xfrm>
          <a:off x="0" y="0"/>
          <a:ext cx="2860511" cy="5237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911225</xdr:colOff>
      <xdr:row>0</xdr:row>
      <xdr:rowOff>12700</xdr:rowOff>
    </xdr:from>
    <xdr:to>
      <xdr:col>5</xdr:col>
      <xdr:colOff>936761</xdr:colOff>
      <xdr:row>2</xdr:row>
      <xdr:rowOff>142240</xdr:rowOff>
    </xdr:to>
    <xdr:pic>
      <xdr:nvPicPr>
        <xdr:cNvPr id="2" name="Picture 1" descr="Experian logo">
          <a:extLst>
            <a:ext uri="{FF2B5EF4-FFF2-40B4-BE49-F238E27FC236}">
              <a16:creationId xmlns:a16="http://schemas.microsoft.com/office/drawing/2014/main" id="{00000000-0008-0000-0C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9149" b="21277"/>
        <a:stretch/>
      </xdr:blipFill>
      <xdr:spPr>
        <a:xfrm>
          <a:off x="3768725" y="12700"/>
          <a:ext cx="1922916" cy="581025"/>
        </a:xfrm>
        <a:prstGeom prst="rect">
          <a:avLst/>
        </a:prstGeom>
      </xdr:spPr>
    </xdr:pic>
    <xdr:clientData/>
  </xdr:twoCellAnchor>
</xdr:wsDr>
</file>

<file path=xl/theme/theme1.xml><?xml version="1.0" encoding="utf-8"?>
<a:theme xmlns:a="http://schemas.openxmlformats.org/drawingml/2006/main" name="TAA Excel">
  <a:themeElements>
    <a:clrScheme name="TAA">
      <a:dk1>
        <a:srgbClr val="6F6F6E"/>
      </a:dk1>
      <a:lt1>
        <a:sysClr val="window" lastClr="FFFFFF"/>
      </a:lt1>
      <a:dk2>
        <a:srgbClr val="B9348B"/>
      </a:dk2>
      <a:lt2>
        <a:srgbClr val="F2E61A"/>
      </a:lt2>
      <a:accent1>
        <a:srgbClr val="19BC9C"/>
      </a:accent1>
      <a:accent2>
        <a:srgbClr val="E94E1B"/>
      </a:accent2>
      <a:accent3>
        <a:srgbClr val="D50C52"/>
      </a:accent3>
      <a:accent4>
        <a:srgbClr val="2DB8C5"/>
      </a:accent4>
      <a:accent5>
        <a:srgbClr val="636AAF"/>
      </a:accent5>
      <a:accent6>
        <a:srgbClr val="F08597"/>
      </a:accent6>
      <a:hlink>
        <a:srgbClr val="0000FF"/>
      </a:hlink>
      <a:folHlink>
        <a:srgbClr val="7030A0"/>
      </a:folHlink>
    </a:clrScheme>
    <a:fontScheme name="Office">
      <a:majorFont>
        <a:latin typeface="Calibri Light" panose="020F0302020204030204"/>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4"/>
  <sheetViews>
    <sheetView showGridLines="0" tabSelected="1" zoomScaleNormal="100" workbookViewId="0"/>
  </sheetViews>
  <sheetFormatPr defaultColWidth="14.26953125" defaultRowHeight="14.5" x14ac:dyDescent="0.35"/>
  <cols>
    <col min="1" max="1" width="15.7265625" style="130" customWidth="1"/>
    <col min="2" max="2" width="49" style="130" customWidth="1"/>
    <col min="3" max="3" width="12.26953125" style="131" customWidth="1"/>
    <col min="4" max="4" width="9.7265625" style="132" customWidth="1"/>
    <col min="5" max="5" width="3.7265625" style="132" customWidth="1"/>
    <col min="6" max="6" width="12.26953125" style="132" customWidth="1"/>
    <col min="7" max="7" width="4.26953125" style="132" customWidth="1"/>
    <col min="9" max="9" width="14.26953125" style="132"/>
    <col min="10" max="10" width="18.81640625" style="132" customWidth="1"/>
    <col min="11" max="11" width="22.453125" style="132" customWidth="1"/>
    <col min="12" max="12" width="4" style="132" customWidth="1"/>
    <col min="13" max="16384" width="14.26953125" style="132"/>
  </cols>
  <sheetData>
    <row r="1" spans="1:11" ht="15" customHeight="1" x14ac:dyDescent="0.35">
      <c r="A1" s="22" t="s">
        <v>882</v>
      </c>
    </row>
    <row r="2" spans="1:11" ht="15" customHeight="1" x14ac:dyDescent="0.35"/>
    <row r="3" spans="1:11" ht="15" customHeight="1" x14ac:dyDescent="0.35"/>
    <row r="4" spans="1:11" ht="15" customHeight="1" x14ac:dyDescent="0.35">
      <c r="A4" s="272" t="s">
        <v>665</v>
      </c>
      <c r="B4" s="272"/>
      <c r="C4" s="272"/>
      <c r="D4" s="272"/>
      <c r="E4" s="272"/>
      <c r="F4" s="272"/>
      <c r="G4" s="272"/>
      <c r="H4" s="272"/>
      <c r="I4" s="272"/>
      <c r="J4" s="272"/>
      <c r="K4" s="272"/>
    </row>
    <row r="5" spans="1:11" ht="15" customHeight="1" x14ac:dyDescent="0.35">
      <c r="A5" s="272"/>
      <c r="B5" s="272"/>
      <c r="C5" s="272"/>
      <c r="D5" s="272"/>
      <c r="E5" s="272"/>
      <c r="F5" s="272"/>
      <c r="G5" s="272"/>
      <c r="H5" s="272"/>
      <c r="I5" s="272"/>
      <c r="J5" s="272"/>
      <c r="K5" s="272"/>
    </row>
    <row r="7" spans="1:11" x14ac:dyDescent="0.35">
      <c r="A7" s="134" t="s">
        <v>123</v>
      </c>
      <c r="B7" s="274" t="s">
        <v>890</v>
      </c>
      <c r="C7" s="274"/>
      <c r="D7" s="274"/>
      <c r="E7" s="274"/>
      <c r="F7" s="274"/>
      <c r="G7" s="158"/>
    </row>
    <row r="8" spans="1:11" x14ac:dyDescent="0.35">
      <c r="A8" s="135" t="s">
        <v>124</v>
      </c>
      <c r="B8" s="274" t="s">
        <v>891</v>
      </c>
      <c r="C8" s="274"/>
      <c r="D8" s="274"/>
      <c r="E8" s="274"/>
      <c r="F8" s="274"/>
      <c r="G8" s="158"/>
    </row>
    <row r="9" spans="1:11" x14ac:dyDescent="0.35">
      <c r="A9" s="135" t="s">
        <v>0</v>
      </c>
      <c r="B9" s="275">
        <v>45432</v>
      </c>
      <c r="C9" s="275"/>
      <c r="D9" s="275"/>
      <c r="E9" s="275"/>
      <c r="F9" s="275"/>
      <c r="G9" s="159"/>
    </row>
    <row r="10" spans="1:11" x14ac:dyDescent="0.35">
      <c r="A10" s="133"/>
      <c r="B10" s="133"/>
      <c r="C10" s="133"/>
      <c r="D10" s="133"/>
      <c r="E10" s="1"/>
      <c r="F10" s="1"/>
      <c r="G10" s="1"/>
    </row>
    <row r="11" spans="1:11" ht="7" customHeight="1" x14ac:dyDescent="0.35">
      <c r="A11" s="263"/>
      <c r="B11" s="263"/>
      <c r="C11" s="263"/>
      <c r="D11" s="263"/>
      <c r="E11" s="263"/>
      <c r="F11" s="263"/>
      <c r="G11" s="157"/>
    </row>
    <row r="12" spans="1:11" ht="15" customHeight="1" x14ac:dyDescent="0.35">
      <c r="A12" s="267" t="s">
        <v>125</v>
      </c>
      <c r="B12" s="267"/>
      <c r="C12" s="267"/>
      <c r="D12" s="267"/>
      <c r="E12" s="267"/>
      <c r="F12" s="267"/>
      <c r="G12" s="155"/>
    </row>
    <row r="13" spans="1:11" ht="7" customHeight="1" x14ac:dyDescent="0.35">
      <c r="A13" s="263"/>
      <c r="B13" s="263"/>
      <c r="C13" s="263"/>
      <c r="D13" s="263"/>
      <c r="E13" s="263"/>
      <c r="F13" s="263"/>
      <c r="G13" s="157"/>
    </row>
    <row r="14" spans="1:11" s="136" customFormat="1" ht="13.5" x14ac:dyDescent="0.35">
      <c r="A14" s="269" t="s">
        <v>872</v>
      </c>
      <c r="B14" s="269"/>
      <c r="C14" s="269"/>
      <c r="D14" s="269"/>
      <c r="E14" s="269"/>
      <c r="F14" s="269"/>
      <c r="G14" s="269"/>
      <c r="H14" s="269"/>
      <c r="I14" s="269"/>
      <c r="J14" s="269"/>
    </row>
    <row r="15" spans="1:11" ht="7" customHeight="1" x14ac:dyDescent="0.35">
      <c r="A15" s="263"/>
      <c r="B15" s="263"/>
      <c r="C15" s="263"/>
      <c r="D15" s="263"/>
      <c r="E15" s="263"/>
      <c r="F15" s="263"/>
      <c r="G15" s="157"/>
    </row>
    <row r="16" spans="1:11" x14ac:dyDescent="0.35">
      <c r="A16" s="137" t="s">
        <v>892</v>
      </c>
      <c r="B16" s="133"/>
      <c r="C16" s="133"/>
      <c r="D16" s="133"/>
      <c r="F16" s="137" t="s">
        <v>893</v>
      </c>
      <c r="G16" s="1"/>
    </row>
    <row r="17" spans="1:11" ht="232.5" customHeight="1" x14ac:dyDescent="0.35">
      <c r="A17" s="240"/>
    </row>
    <row r="18" spans="1:11" ht="232.5" customHeight="1" x14ac:dyDescent="0.35">
      <c r="A18" s="22"/>
    </row>
    <row r="19" spans="1:11" s="136" customFormat="1" ht="22.5" customHeight="1" x14ac:dyDescent="0.35">
      <c r="A19" s="271" t="s">
        <v>446</v>
      </c>
      <c r="B19" s="271"/>
      <c r="C19" s="271"/>
      <c r="D19" s="271"/>
      <c r="E19" s="271"/>
      <c r="F19" s="271"/>
      <c r="G19" s="154"/>
    </row>
    <row r="20" spans="1:11" s="136" customFormat="1" ht="27" customHeight="1" x14ac:dyDescent="0.35">
      <c r="A20" s="269" t="s">
        <v>885</v>
      </c>
      <c r="B20" s="269"/>
      <c r="C20" s="269"/>
      <c r="D20" s="269"/>
      <c r="E20" s="269"/>
      <c r="F20" s="269"/>
      <c r="G20" s="269"/>
      <c r="H20" s="269"/>
      <c r="I20" s="269"/>
      <c r="J20" s="269"/>
      <c r="K20" s="269"/>
    </row>
    <row r="21" spans="1:11" s="138" customFormat="1" ht="7.5" customHeight="1" x14ac:dyDescent="0.35">
      <c r="A21" s="276"/>
      <c r="B21" s="276"/>
      <c r="C21" s="276"/>
      <c r="D21" s="276"/>
      <c r="E21" s="276"/>
      <c r="F21" s="276"/>
      <c r="G21" s="162"/>
    </row>
    <row r="22" spans="1:11" s="136" customFormat="1" ht="92.25" customHeight="1" x14ac:dyDescent="0.35">
      <c r="A22" s="273" t="s">
        <v>886</v>
      </c>
      <c r="B22" s="273"/>
      <c r="C22" s="273"/>
      <c r="D22" s="273"/>
      <c r="E22" s="273"/>
      <c r="F22" s="273"/>
      <c r="G22" s="273"/>
      <c r="H22" s="273"/>
      <c r="I22" s="273"/>
      <c r="J22" s="273"/>
      <c r="K22" s="273"/>
    </row>
    <row r="23" spans="1:11" s="138" customFormat="1" ht="7.5" customHeight="1" x14ac:dyDescent="0.35">
      <c r="A23" s="276"/>
      <c r="B23" s="276"/>
      <c r="C23" s="276"/>
      <c r="D23" s="276"/>
      <c r="E23" s="276"/>
      <c r="F23" s="276"/>
      <c r="G23" s="162"/>
    </row>
    <row r="24" spans="1:11" s="138" customFormat="1" ht="13.5" x14ac:dyDescent="0.35">
      <c r="A24" s="276" t="s">
        <v>447</v>
      </c>
      <c r="B24" s="276"/>
      <c r="C24" s="276"/>
      <c r="D24" s="276"/>
      <c r="E24" s="276"/>
      <c r="F24" s="276"/>
      <c r="G24" s="162"/>
    </row>
    <row r="25" spans="1:11" s="136" customFormat="1" ht="45" customHeight="1" x14ac:dyDescent="0.35">
      <c r="A25" s="273" t="s">
        <v>615</v>
      </c>
      <c r="B25" s="273"/>
      <c r="C25" s="273"/>
      <c r="D25" s="273"/>
      <c r="E25" s="273"/>
      <c r="F25" s="273"/>
      <c r="G25" s="273"/>
      <c r="H25" s="273"/>
      <c r="I25" s="273"/>
      <c r="J25" s="273"/>
      <c r="K25" s="273"/>
    </row>
    <row r="26" spans="1:11" s="138" customFormat="1" ht="13.5" x14ac:dyDescent="0.35">
      <c r="A26" s="22"/>
      <c r="B26" s="22"/>
      <c r="C26" s="129"/>
      <c r="D26" s="1"/>
      <c r="E26" s="1"/>
      <c r="F26" s="1"/>
      <c r="G26" s="1"/>
    </row>
    <row r="27" spans="1:11" s="138" customFormat="1" ht="22.5" customHeight="1" x14ac:dyDescent="0.35">
      <c r="A27" s="271" t="s">
        <v>613</v>
      </c>
      <c r="B27" s="271"/>
      <c r="C27" s="271"/>
      <c r="D27" s="271"/>
      <c r="E27" s="271"/>
      <c r="F27" s="271"/>
      <c r="G27" s="154"/>
    </row>
    <row r="28" spans="1:11" s="136" customFormat="1" ht="45" customHeight="1" x14ac:dyDescent="0.35">
      <c r="A28" s="269" t="s">
        <v>614</v>
      </c>
      <c r="B28" s="269"/>
      <c r="C28" s="269"/>
      <c r="D28" s="269"/>
      <c r="E28" s="269"/>
      <c r="F28" s="269"/>
      <c r="G28" s="269"/>
      <c r="H28" s="269"/>
      <c r="I28" s="269"/>
      <c r="J28" s="269"/>
      <c r="K28" s="269"/>
    </row>
    <row r="29" spans="1:11" s="138" customFormat="1" ht="13.5" x14ac:dyDescent="0.35">
      <c r="A29" s="22"/>
      <c r="B29" s="22"/>
      <c r="C29" s="129"/>
      <c r="D29" s="1"/>
      <c r="E29" s="1"/>
      <c r="F29" s="1"/>
      <c r="G29" s="1"/>
    </row>
    <row r="30" spans="1:11" ht="22.5" customHeight="1" x14ac:dyDescent="0.35">
      <c r="A30" s="267" t="s">
        <v>126</v>
      </c>
      <c r="B30" s="267"/>
      <c r="C30" s="267"/>
      <c r="D30" s="267"/>
      <c r="E30" s="267"/>
      <c r="F30" s="267"/>
      <c r="G30" s="155"/>
    </row>
    <row r="31" spans="1:11" ht="30" customHeight="1" x14ac:dyDescent="0.35">
      <c r="A31" s="270" t="s">
        <v>127</v>
      </c>
      <c r="B31" s="270"/>
      <c r="C31" s="270"/>
      <c r="D31" s="270"/>
      <c r="E31" s="270"/>
      <c r="F31" s="270"/>
      <c r="G31" s="270"/>
      <c r="H31" s="270"/>
      <c r="I31" s="270"/>
      <c r="J31" s="270"/>
      <c r="K31" s="270"/>
    </row>
    <row r="32" spans="1:11" ht="7" customHeight="1" x14ac:dyDescent="0.35">
      <c r="A32" s="263"/>
      <c r="B32" s="263"/>
      <c r="C32" s="263"/>
      <c r="D32" s="263"/>
      <c r="E32" s="263"/>
      <c r="F32" s="263"/>
      <c r="G32" s="157"/>
    </row>
    <row r="33" spans="1:11" ht="15" customHeight="1" x14ac:dyDescent="0.35">
      <c r="A33" s="264" t="s">
        <v>128</v>
      </c>
      <c r="B33" s="264"/>
      <c r="C33" s="264"/>
      <c r="D33" s="264"/>
      <c r="E33" s="264"/>
      <c r="F33" s="264"/>
      <c r="G33" s="264"/>
      <c r="H33" s="264"/>
      <c r="I33" s="264"/>
      <c r="J33" s="264"/>
      <c r="K33" s="264"/>
    </row>
    <row r="34" spans="1:11" x14ac:dyDescent="0.35">
      <c r="A34" s="263"/>
      <c r="B34" s="263"/>
      <c r="C34" s="263"/>
      <c r="D34" s="263"/>
      <c r="E34" s="263"/>
      <c r="F34" s="263"/>
      <c r="G34" s="157"/>
    </row>
    <row r="35" spans="1:11" ht="22.5" customHeight="1" x14ac:dyDescent="0.35">
      <c r="A35" s="267" t="s">
        <v>129</v>
      </c>
      <c r="B35" s="267"/>
      <c r="C35" s="267"/>
      <c r="D35" s="267"/>
      <c r="E35" s="267"/>
      <c r="F35" s="267"/>
      <c r="G35" s="155"/>
    </row>
    <row r="36" spans="1:11" ht="30" customHeight="1" x14ac:dyDescent="0.35">
      <c r="A36" s="270" t="s">
        <v>130</v>
      </c>
      <c r="B36" s="270"/>
      <c r="C36" s="270"/>
      <c r="D36" s="270"/>
      <c r="E36" s="270"/>
      <c r="F36" s="270"/>
      <c r="G36" s="270"/>
      <c r="H36" s="270"/>
      <c r="I36" s="270"/>
      <c r="J36" s="270"/>
      <c r="K36" s="270"/>
    </row>
    <row r="37" spans="1:11" x14ac:dyDescent="0.35">
      <c r="A37" s="263"/>
      <c r="B37" s="263"/>
      <c r="C37" s="263"/>
      <c r="D37" s="263"/>
      <c r="E37" s="263"/>
      <c r="F37" s="263"/>
      <c r="G37" s="157"/>
    </row>
    <row r="38" spans="1:11" ht="22.5" customHeight="1" x14ac:dyDescent="0.35">
      <c r="A38" s="267" t="s">
        <v>70</v>
      </c>
      <c r="B38" s="267"/>
      <c r="C38" s="267"/>
      <c r="D38" s="267"/>
      <c r="E38" s="267"/>
      <c r="F38" s="267"/>
      <c r="G38" s="155"/>
    </row>
    <row r="39" spans="1:11" ht="15.75" customHeight="1" x14ac:dyDescent="0.35">
      <c r="A39" s="269" t="s">
        <v>873</v>
      </c>
      <c r="B39" s="269"/>
      <c r="C39" s="269"/>
      <c r="D39" s="269"/>
      <c r="E39" s="269"/>
      <c r="F39" s="269"/>
      <c r="G39" s="269"/>
      <c r="H39" s="269"/>
      <c r="I39" s="269"/>
      <c r="J39" s="269"/>
      <c r="K39" s="269"/>
    </row>
    <row r="40" spans="1:11" ht="7" customHeight="1" x14ac:dyDescent="0.35">
      <c r="A40" s="263"/>
      <c r="B40" s="263"/>
      <c r="C40" s="263"/>
      <c r="D40" s="263"/>
      <c r="E40" s="263"/>
      <c r="F40" s="263"/>
      <c r="G40" s="157"/>
    </row>
    <row r="41" spans="1:11" ht="15" customHeight="1" x14ac:dyDescent="0.35">
      <c r="A41" s="269" t="s">
        <v>874</v>
      </c>
      <c r="B41" s="269"/>
      <c r="C41" s="269"/>
      <c r="D41" s="269"/>
      <c r="E41" s="269"/>
      <c r="F41" s="269"/>
      <c r="G41" s="269"/>
      <c r="H41" s="269"/>
      <c r="I41" s="269"/>
      <c r="J41" s="269"/>
    </row>
    <row r="42" spans="1:11" ht="24" customHeight="1" x14ac:dyDescent="0.35">
      <c r="A42" s="269" t="s">
        <v>875</v>
      </c>
      <c r="B42" s="269"/>
      <c r="C42" s="269"/>
      <c r="D42" s="269"/>
      <c r="E42" s="269"/>
      <c r="F42" s="269"/>
      <c r="G42" s="269"/>
      <c r="H42" s="269"/>
      <c r="I42" s="269"/>
      <c r="J42" s="269"/>
    </row>
    <row r="43" spans="1:11" ht="7" customHeight="1" x14ac:dyDescent="0.35">
      <c r="A43" s="263"/>
      <c r="B43" s="263"/>
      <c r="C43" s="263"/>
      <c r="D43" s="263"/>
      <c r="E43" s="263"/>
      <c r="F43" s="263"/>
      <c r="G43" s="157"/>
    </row>
    <row r="44" spans="1:11" ht="15" customHeight="1" x14ac:dyDescent="0.35">
      <c r="A44" s="268" t="s">
        <v>876</v>
      </c>
      <c r="B44" s="268"/>
      <c r="C44" s="268"/>
      <c r="D44" s="268"/>
      <c r="E44" s="268"/>
      <c r="F44" s="268"/>
      <c r="G44" s="156"/>
    </row>
    <row r="45" spans="1:11" ht="15" customHeight="1" x14ac:dyDescent="0.35">
      <c r="A45" s="265" t="s">
        <v>879</v>
      </c>
      <c r="B45" s="266"/>
      <c r="C45" s="266"/>
      <c r="D45" s="266"/>
      <c r="E45" s="266"/>
      <c r="F45" s="266"/>
      <c r="G45" s="160"/>
    </row>
    <row r="46" spans="1:11" ht="7" customHeight="1" x14ac:dyDescent="0.35">
      <c r="A46" s="263"/>
      <c r="B46" s="263"/>
      <c r="C46" s="263"/>
      <c r="D46" s="263"/>
      <c r="E46" s="263"/>
      <c r="F46" s="263"/>
      <c r="G46" s="157"/>
    </row>
    <row r="47" spans="1:11" ht="15" customHeight="1" x14ac:dyDescent="0.35">
      <c r="A47" s="268" t="s">
        <v>877</v>
      </c>
      <c r="B47" s="268"/>
      <c r="C47" s="268"/>
      <c r="D47" s="268"/>
      <c r="E47" s="268"/>
      <c r="F47" s="268"/>
      <c r="G47" s="268"/>
      <c r="H47" s="268"/>
      <c r="I47" s="268"/>
      <c r="J47" s="268"/>
    </row>
    <row r="48" spans="1:11" ht="15" customHeight="1" x14ac:dyDescent="0.35">
      <c r="A48" s="265" t="s">
        <v>880</v>
      </c>
      <c r="B48" s="266"/>
      <c r="C48" s="266"/>
      <c r="D48" s="266"/>
      <c r="E48" s="266"/>
      <c r="F48" s="266"/>
      <c r="G48" s="160"/>
    </row>
    <row r="49" spans="1:12" ht="7" customHeight="1" x14ac:dyDescent="0.35">
      <c r="A49" s="263"/>
      <c r="B49" s="263"/>
      <c r="C49" s="263"/>
      <c r="D49" s="263"/>
      <c r="E49" s="263"/>
      <c r="F49" s="263"/>
      <c r="G49" s="157"/>
    </row>
    <row r="50" spans="1:12" ht="15" customHeight="1" x14ac:dyDescent="0.35">
      <c r="A50" s="268" t="s">
        <v>878</v>
      </c>
      <c r="B50" s="268"/>
      <c r="C50" s="268"/>
      <c r="D50" s="268"/>
      <c r="E50" s="268"/>
      <c r="F50" s="268"/>
      <c r="G50" s="156"/>
    </row>
    <row r="51" spans="1:12" x14ac:dyDescent="0.35">
      <c r="A51" s="263"/>
      <c r="B51" s="263"/>
      <c r="C51" s="263"/>
      <c r="D51" s="263"/>
      <c r="E51" s="263"/>
      <c r="F51" s="263"/>
      <c r="G51" s="157"/>
    </row>
    <row r="52" spans="1:12" ht="22.5" customHeight="1" x14ac:dyDescent="0.35">
      <c r="A52" s="267" t="s">
        <v>131</v>
      </c>
      <c r="B52" s="267"/>
      <c r="C52" s="267"/>
      <c r="D52" s="267"/>
      <c r="E52" s="267"/>
      <c r="F52" s="267"/>
      <c r="G52" s="155"/>
    </row>
    <row r="53" spans="1:12" ht="15" customHeight="1" x14ac:dyDescent="0.35">
      <c r="A53" s="264" t="s">
        <v>887</v>
      </c>
      <c r="B53" s="264"/>
      <c r="C53" s="264"/>
      <c r="D53" s="264"/>
      <c r="E53" s="264"/>
      <c r="F53" s="264"/>
      <c r="G53" s="161"/>
      <c r="I53" s="27"/>
      <c r="J53" s="27"/>
      <c r="K53" s="27"/>
      <c r="L53" s="27"/>
    </row>
    <row r="54" spans="1:12" ht="7" customHeight="1" x14ac:dyDescent="0.35">
      <c r="A54" s="263"/>
      <c r="B54" s="263"/>
      <c r="C54" s="263"/>
      <c r="D54" s="263"/>
      <c r="E54" s="263"/>
      <c r="F54" s="263"/>
      <c r="G54" s="157"/>
      <c r="I54" s="1"/>
      <c r="J54" s="1"/>
      <c r="K54" s="1"/>
      <c r="L54" s="1"/>
    </row>
  </sheetData>
  <mergeCells count="43">
    <mergeCell ref="A4:K5"/>
    <mergeCell ref="A20:K20"/>
    <mergeCell ref="A22:K22"/>
    <mergeCell ref="A25:K25"/>
    <mergeCell ref="A28:K28"/>
    <mergeCell ref="B7:F7"/>
    <mergeCell ref="B8:F8"/>
    <mergeCell ref="B9:F9"/>
    <mergeCell ref="A24:F24"/>
    <mergeCell ref="A23:F23"/>
    <mergeCell ref="A21:F21"/>
    <mergeCell ref="A27:F27"/>
    <mergeCell ref="A11:F11"/>
    <mergeCell ref="A12:F12"/>
    <mergeCell ref="A34:F34"/>
    <mergeCell ref="A13:F13"/>
    <mergeCell ref="A15:F15"/>
    <mergeCell ref="A30:F30"/>
    <mergeCell ref="A14:J14"/>
    <mergeCell ref="A41:J41"/>
    <mergeCell ref="A38:F38"/>
    <mergeCell ref="A35:F35"/>
    <mergeCell ref="A32:F32"/>
    <mergeCell ref="A31:K31"/>
    <mergeCell ref="A33:K33"/>
    <mergeCell ref="A36:K36"/>
    <mergeCell ref="A39:K39"/>
    <mergeCell ref="A19:F19"/>
    <mergeCell ref="A54:F54"/>
    <mergeCell ref="A37:F37"/>
    <mergeCell ref="A51:F51"/>
    <mergeCell ref="A53:F53"/>
    <mergeCell ref="A43:F43"/>
    <mergeCell ref="A46:F46"/>
    <mergeCell ref="A49:F49"/>
    <mergeCell ref="A40:F40"/>
    <mergeCell ref="A48:F48"/>
    <mergeCell ref="A52:F52"/>
    <mergeCell ref="A50:F50"/>
    <mergeCell ref="A44:F44"/>
    <mergeCell ref="A45:F45"/>
    <mergeCell ref="A42:J42"/>
    <mergeCell ref="A47:J47"/>
  </mergeCells>
  <pageMargins left="0.70866141732283472" right="0.70866141732283472" top="0.74803149606299213" bottom="0.74803149606299213" header="0.31496062992125984" footer="0.31496062992125984"/>
  <pageSetup paperSize="9" scale="75"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64"/>
  <sheetViews>
    <sheetView showGridLines="0" zoomScaleNormal="100" workbookViewId="0"/>
  </sheetViews>
  <sheetFormatPr defaultColWidth="14.26953125" defaultRowHeight="13.5" x14ac:dyDescent="0.35"/>
  <cols>
    <col min="1" max="1" width="40.7265625" style="4" customWidth="1"/>
    <col min="2" max="3" width="17.7265625" style="5" customWidth="1"/>
    <col min="4" max="5" width="17.7265625" style="2" customWidth="1"/>
    <col min="6" max="6" width="14.7265625" style="2" customWidth="1"/>
    <col min="7" max="7" width="14.7265625" style="44" customWidth="1"/>
    <col min="8" max="16384" width="14.26953125" style="2"/>
  </cols>
  <sheetData>
    <row r="1" spans="1:10" x14ac:dyDescent="0.35">
      <c r="A1" s="22" t="s">
        <v>526</v>
      </c>
    </row>
    <row r="4" spans="1:10" ht="15" customHeight="1" x14ac:dyDescent="0.35">
      <c r="A4" s="272" t="s">
        <v>132</v>
      </c>
      <c r="B4" s="272"/>
      <c r="C4" s="272"/>
      <c r="D4" s="272"/>
      <c r="E4" s="272"/>
      <c r="F4" s="272"/>
      <c r="G4" s="272"/>
    </row>
    <row r="5" spans="1:10" ht="15" customHeight="1" x14ac:dyDescent="0.35">
      <c r="A5" s="272"/>
      <c r="B5" s="272"/>
      <c r="C5" s="272"/>
      <c r="D5" s="272"/>
      <c r="E5" s="272"/>
      <c r="F5" s="272"/>
      <c r="G5" s="272"/>
    </row>
    <row r="6" spans="1:10" x14ac:dyDescent="0.35">
      <c r="A6" s="245" t="s">
        <v>869</v>
      </c>
      <c r="B6" s="246" t="s">
        <v>870</v>
      </c>
      <c r="C6" s="246"/>
      <c r="D6" s="241"/>
      <c r="E6" s="241"/>
      <c r="F6" s="241"/>
      <c r="G6" s="247"/>
    </row>
    <row r="7" spans="1:10" x14ac:dyDescent="0.35">
      <c r="A7" s="245" t="s">
        <v>620</v>
      </c>
      <c r="B7" s="246" t="s">
        <v>890</v>
      </c>
      <c r="C7" s="246"/>
      <c r="D7" s="241"/>
      <c r="E7" s="241"/>
      <c r="F7" s="241"/>
      <c r="G7" s="247"/>
    </row>
    <row r="8" spans="1:10" x14ac:dyDescent="0.35">
      <c r="A8" s="245" t="s">
        <v>621</v>
      </c>
      <c r="B8" s="246" t="s">
        <v>891</v>
      </c>
      <c r="C8" s="246"/>
      <c r="D8" s="241"/>
      <c r="E8" s="241"/>
      <c r="F8" s="241"/>
      <c r="G8" s="247"/>
    </row>
    <row r="10" spans="1:10" ht="15" customHeight="1" x14ac:dyDescent="0.35">
      <c r="A10" s="17" t="s">
        <v>71</v>
      </c>
      <c r="B10" s="19"/>
      <c r="C10" s="19"/>
      <c r="D10" s="19"/>
      <c r="E10" s="19"/>
      <c r="F10" s="19"/>
    </row>
    <row r="11" spans="1:10" ht="15" customHeight="1" x14ac:dyDescent="0.35">
      <c r="A11" s="9" t="s">
        <v>144</v>
      </c>
      <c r="B11" s="19"/>
      <c r="C11" s="19"/>
      <c r="D11" s="19"/>
      <c r="E11" s="19"/>
      <c r="F11" s="19"/>
    </row>
    <row r="12" spans="1:10" ht="39.75" customHeight="1" x14ac:dyDescent="0.35">
      <c r="A12" s="248" t="s">
        <v>72</v>
      </c>
      <c r="B12" s="227" t="s">
        <v>890</v>
      </c>
      <c r="C12" s="243" t="s">
        <v>890</v>
      </c>
      <c r="D12" s="227" t="s">
        <v>891</v>
      </c>
      <c r="E12" s="228" t="s">
        <v>891</v>
      </c>
      <c r="F12" s="235" t="s">
        <v>1</v>
      </c>
      <c r="G12" s="236" t="s">
        <v>1</v>
      </c>
      <c r="I12" s="10"/>
    </row>
    <row r="13" spans="1:10" x14ac:dyDescent="0.35">
      <c r="A13" s="239" t="s">
        <v>866</v>
      </c>
      <c r="B13" s="35" t="s">
        <v>73</v>
      </c>
      <c r="C13" s="36" t="s">
        <v>74</v>
      </c>
      <c r="D13" s="34" t="s">
        <v>73</v>
      </c>
      <c r="E13" s="36" t="s">
        <v>74</v>
      </c>
      <c r="F13" s="237" t="s">
        <v>864</v>
      </c>
      <c r="G13" s="238" t="s">
        <v>865</v>
      </c>
      <c r="I13" s="10"/>
    </row>
    <row r="14" spans="1:10" x14ac:dyDescent="0.35">
      <c r="A14" s="39" t="s">
        <v>47</v>
      </c>
      <c r="B14" s="33">
        <v>8395</v>
      </c>
      <c r="C14" s="42">
        <v>4.2748099377237336E-2</v>
      </c>
      <c r="D14" s="41">
        <v>8838</v>
      </c>
      <c r="E14" s="42">
        <v>8.2516693804992464E-3</v>
      </c>
      <c r="F14" s="49">
        <v>518.05395255245878</v>
      </c>
      <c r="G14" s="45">
        <v>418.05395255245878</v>
      </c>
      <c r="I14" s="10"/>
      <c r="J14" s="23"/>
    </row>
    <row r="15" spans="1:10" x14ac:dyDescent="0.35">
      <c r="A15" s="39" t="s">
        <v>46</v>
      </c>
      <c r="B15" s="33">
        <v>23468</v>
      </c>
      <c r="C15" s="42">
        <v>0.11950117881894054</v>
      </c>
      <c r="D15" s="41">
        <v>158340</v>
      </c>
      <c r="E15" s="42">
        <v>0.14783540729896477</v>
      </c>
      <c r="F15" s="49">
        <v>80.833936201275208</v>
      </c>
      <c r="G15" s="45">
        <v>-19.166063798724792</v>
      </c>
      <c r="I15" s="10"/>
    </row>
    <row r="16" spans="1:10" x14ac:dyDescent="0.35">
      <c r="A16" s="39" t="s">
        <v>48</v>
      </c>
      <c r="B16" s="33">
        <v>85028</v>
      </c>
      <c r="C16" s="42">
        <v>0.43297026728382804</v>
      </c>
      <c r="D16" s="41">
        <v>107716</v>
      </c>
      <c r="E16" s="42">
        <v>0.10056990484157691</v>
      </c>
      <c r="F16" s="49">
        <v>430.51673158671673</v>
      </c>
      <c r="G16" s="45">
        <v>330.51673158671673</v>
      </c>
      <c r="I16" s="10"/>
    </row>
    <row r="17" spans="1:10" x14ac:dyDescent="0.35">
      <c r="A17" s="39" t="s">
        <v>49</v>
      </c>
      <c r="B17" s="33">
        <v>22762</v>
      </c>
      <c r="C17" s="42">
        <v>0.11590616295707877</v>
      </c>
      <c r="D17" s="41">
        <v>186147</v>
      </c>
      <c r="E17" s="42">
        <v>0.17379763523102434</v>
      </c>
      <c r="F17" s="49">
        <v>66.690299210923058</v>
      </c>
      <c r="G17" s="45">
        <v>-33.309700789076942</v>
      </c>
      <c r="I17" s="10"/>
    </row>
    <row r="18" spans="1:10" x14ac:dyDescent="0.35">
      <c r="A18" s="39" t="s">
        <v>50</v>
      </c>
      <c r="B18" s="33">
        <v>8311</v>
      </c>
      <c r="C18" s="42">
        <v>4.2320363778942167E-2</v>
      </c>
      <c r="D18" s="41">
        <v>169991</v>
      </c>
      <c r="E18" s="42">
        <v>0.15871345662598407</v>
      </c>
      <c r="F18" s="49">
        <v>26.664634920447956</v>
      </c>
      <c r="G18" s="45">
        <v>-73.335365079552048</v>
      </c>
      <c r="I18" s="10"/>
      <c r="J18" s="10"/>
    </row>
    <row r="19" spans="1:10" x14ac:dyDescent="0.35">
      <c r="A19" s="39" t="s">
        <v>51</v>
      </c>
      <c r="B19" s="33">
        <v>8637</v>
      </c>
      <c r="C19" s="42">
        <v>4.3980385267563891E-2</v>
      </c>
      <c r="D19" s="41">
        <v>95362</v>
      </c>
      <c r="E19" s="42">
        <v>8.9035493942426908E-2</v>
      </c>
      <c r="F19" s="49">
        <v>49.396463500278848</v>
      </c>
      <c r="G19" s="45">
        <v>-50.603536499721152</v>
      </c>
      <c r="I19" s="10"/>
    </row>
    <row r="20" spans="1:10" x14ac:dyDescent="0.35">
      <c r="A20" s="39" t="s">
        <v>52</v>
      </c>
      <c r="B20" s="33">
        <v>6668</v>
      </c>
      <c r="C20" s="42">
        <v>3.3954059159906916E-2</v>
      </c>
      <c r="D20" s="41">
        <v>125466</v>
      </c>
      <c r="E20" s="42">
        <v>0.11714233429437863</v>
      </c>
      <c r="F20" s="49">
        <v>28.985301824855547</v>
      </c>
      <c r="G20" s="45">
        <v>-71.014698175144446</v>
      </c>
      <c r="I20" s="10"/>
    </row>
    <row r="21" spans="1:10" x14ac:dyDescent="0.35">
      <c r="A21" s="39" t="s">
        <v>166</v>
      </c>
      <c r="B21" s="33">
        <v>10266</v>
      </c>
      <c r="C21" s="42">
        <v>5.2275400620216621E-2</v>
      </c>
      <c r="D21" s="41">
        <v>123019</v>
      </c>
      <c r="E21" s="42">
        <v>0.11485767317488535</v>
      </c>
      <c r="F21" s="49">
        <v>45.51319835690969</v>
      </c>
      <c r="G21" s="45">
        <v>-54.48680164309031</v>
      </c>
      <c r="I21" s="10"/>
    </row>
    <row r="22" spans="1:10" s="15" customFormat="1" x14ac:dyDescent="0.35">
      <c r="A22" s="39" t="s">
        <v>53</v>
      </c>
      <c r="B22" s="33">
        <v>19547</v>
      </c>
      <c r="C22" s="42">
        <v>9.9535092141376805E-2</v>
      </c>
      <c r="D22" s="41">
        <v>46012</v>
      </c>
      <c r="E22" s="42">
        <v>4.2959471773651427E-2</v>
      </c>
      <c r="F22" s="49">
        <v>231.69533523553523</v>
      </c>
      <c r="G22" s="45">
        <v>131.69533523553523</v>
      </c>
    </row>
    <row r="23" spans="1:10" s="15" customFormat="1" x14ac:dyDescent="0.35">
      <c r="A23" s="119" t="s">
        <v>167</v>
      </c>
      <c r="B23" s="120">
        <v>3301</v>
      </c>
      <c r="C23" s="38">
        <v>1.6808990594908927E-2</v>
      </c>
      <c r="D23" s="37">
        <v>50165</v>
      </c>
      <c r="E23" s="38">
        <v>4.6836953436608354E-2</v>
      </c>
      <c r="F23" s="63">
        <v>35.888309041404916</v>
      </c>
      <c r="G23" s="91">
        <v>-64.111690958595091</v>
      </c>
    </row>
    <row r="24" spans="1:10" s="15" customFormat="1" x14ac:dyDescent="0.35">
      <c r="A24" s="121" t="s">
        <v>54</v>
      </c>
      <c r="B24" s="122">
        <v>879</v>
      </c>
      <c r="C24" s="123" t="s">
        <v>133</v>
      </c>
      <c r="D24" s="124">
        <v>1218</v>
      </c>
      <c r="E24" s="123" t="s">
        <v>133</v>
      </c>
      <c r="F24" s="124"/>
      <c r="G24" s="125"/>
    </row>
    <row r="25" spans="1:10" x14ac:dyDescent="0.35">
      <c r="A25" s="62" t="s">
        <v>884</v>
      </c>
      <c r="B25" s="226">
        <v>196383</v>
      </c>
      <c r="C25" s="234"/>
      <c r="D25" s="224">
        <v>1071056</v>
      </c>
      <c r="E25" s="225"/>
      <c r="F25" s="58"/>
      <c r="G25" s="46"/>
    </row>
    <row r="26" spans="1:10" ht="15" customHeight="1" x14ac:dyDescent="0.35">
      <c r="A26" s="277" t="s">
        <v>415</v>
      </c>
      <c r="B26" s="277"/>
      <c r="C26" s="277"/>
      <c r="D26" s="277"/>
      <c r="E26" s="277"/>
      <c r="F26" s="277"/>
      <c r="G26" s="277"/>
    </row>
    <row r="27" spans="1:10" x14ac:dyDescent="0.35">
      <c r="A27" s="18"/>
      <c r="B27" s="18"/>
      <c r="C27" s="18"/>
      <c r="D27" s="18"/>
      <c r="E27" s="18"/>
      <c r="F27" s="18"/>
    </row>
    <row r="28" spans="1:10" x14ac:dyDescent="0.35">
      <c r="A28" s="9" t="s">
        <v>145</v>
      </c>
      <c r="B28" s="18"/>
      <c r="C28" s="18"/>
      <c r="D28" s="18"/>
      <c r="E28" s="18"/>
      <c r="F28" s="18"/>
    </row>
    <row r="29" spans="1:10" ht="40" customHeight="1" x14ac:dyDescent="0.35">
      <c r="A29" s="248" t="s">
        <v>168</v>
      </c>
      <c r="B29" s="227" t="s">
        <v>890</v>
      </c>
      <c r="C29" s="243" t="s">
        <v>890</v>
      </c>
      <c r="D29" s="227" t="s">
        <v>891</v>
      </c>
      <c r="E29" s="228" t="s">
        <v>891</v>
      </c>
      <c r="F29" s="235" t="s">
        <v>1</v>
      </c>
      <c r="G29" s="236" t="s">
        <v>1</v>
      </c>
      <c r="I29" s="10"/>
    </row>
    <row r="30" spans="1:10" x14ac:dyDescent="0.35">
      <c r="A30" s="239" t="s">
        <v>866</v>
      </c>
      <c r="B30" s="35" t="s">
        <v>73</v>
      </c>
      <c r="C30" s="36" t="s">
        <v>74</v>
      </c>
      <c r="D30" s="34" t="s">
        <v>73</v>
      </c>
      <c r="E30" s="36" t="s">
        <v>74</v>
      </c>
      <c r="F30" s="237" t="s">
        <v>864</v>
      </c>
      <c r="G30" s="238" t="s">
        <v>865</v>
      </c>
      <c r="I30" s="10"/>
    </row>
    <row r="31" spans="1:10" x14ac:dyDescent="0.35">
      <c r="A31" s="39" t="s">
        <v>146</v>
      </c>
      <c r="B31" s="33">
        <v>6596</v>
      </c>
      <c r="C31" s="42">
        <v>3.3587428647082487E-2</v>
      </c>
      <c r="D31" s="41">
        <v>6990</v>
      </c>
      <c r="E31" s="42">
        <v>6.5262694014131852E-3</v>
      </c>
      <c r="F31" s="49">
        <v>514.64974216065207</v>
      </c>
      <c r="G31" s="45">
        <v>414.64974216065207</v>
      </c>
      <c r="I31" s="10"/>
      <c r="J31" s="23"/>
    </row>
    <row r="32" spans="1:10" x14ac:dyDescent="0.35">
      <c r="A32" s="39" t="s">
        <v>154</v>
      </c>
      <c r="B32" s="33">
        <v>1799</v>
      </c>
      <c r="C32" s="42">
        <v>9.1606707301548507E-3</v>
      </c>
      <c r="D32" s="41">
        <v>1848</v>
      </c>
      <c r="E32" s="42">
        <v>1.7253999790860608E-3</v>
      </c>
      <c r="F32" s="49">
        <v>530.93026783315656</v>
      </c>
      <c r="G32" s="45">
        <v>430.93026783315656</v>
      </c>
      <c r="I32" s="10"/>
      <c r="J32" s="23"/>
    </row>
    <row r="33" spans="1:10" x14ac:dyDescent="0.35">
      <c r="A33" s="39" t="s">
        <v>147</v>
      </c>
      <c r="B33" s="33">
        <v>12415</v>
      </c>
      <c r="C33" s="42">
        <v>6.3218303009934668E-2</v>
      </c>
      <c r="D33" s="41">
        <v>66191</v>
      </c>
      <c r="E33" s="42">
        <v>6.1799756501994291E-2</v>
      </c>
      <c r="F33" s="49">
        <v>102.29539174299917</v>
      </c>
      <c r="G33" s="45">
        <v>2.2953917429991719</v>
      </c>
      <c r="I33" s="10"/>
    </row>
    <row r="34" spans="1:10" x14ac:dyDescent="0.35">
      <c r="A34" s="39" t="s">
        <v>155</v>
      </c>
      <c r="B34" s="33">
        <v>11053</v>
      </c>
      <c r="C34" s="42">
        <v>5.6282875809005872E-2</v>
      </c>
      <c r="D34" s="41">
        <v>92149</v>
      </c>
      <c r="E34" s="42">
        <v>8.6035650796970467E-2</v>
      </c>
      <c r="F34" s="49">
        <v>65.418085744273498</v>
      </c>
      <c r="G34" s="45">
        <v>-34.581914255726502</v>
      </c>
      <c r="I34" s="10"/>
    </row>
    <row r="35" spans="1:10" x14ac:dyDescent="0.35">
      <c r="A35" s="39" t="s">
        <v>148</v>
      </c>
      <c r="B35" s="33">
        <v>32974</v>
      </c>
      <c r="C35" s="42">
        <v>0.16790659069267708</v>
      </c>
      <c r="D35" s="41">
        <v>41626</v>
      </c>
      <c r="E35" s="42">
        <v>3.8864447797314051E-2</v>
      </c>
      <c r="F35" s="49">
        <v>432.03132994026799</v>
      </c>
      <c r="G35" s="45">
        <v>332.03132994026799</v>
      </c>
      <c r="I35" s="10"/>
    </row>
    <row r="36" spans="1:10" x14ac:dyDescent="0.35">
      <c r="A36" s="39" t="s">
        <v>153</v>
      </c>
      <c r="B36" s="33">
        <v>52054</v>
      </c>
      <c r="C36" s="42">
        <v>0.26506367659115099</v>
      </c>
      <c r="D36" s="41">
        <v>66090</v>
      </c>
      <c r="E36" s="42">
        <v>6.1705457044262856E-2</v>
      </c>
      <c r="F36" s="49">
        <v>429.56277983811742</v>
      </c>
      <c r="G36" s="45">
        <v>329.56277983811742</v>
      </c>
      <c r="I36" s="10"/>
    </row>
    <row r="37" spans="1:10" x14ac:dyDescent="0.35">
      <c r="A37" s="39" t="s">
        <v>149</v>
      </c>
      <c r="B37" s="33">
        <v>7792</v>
      </c>
      <c r="C37" s="42">
        <v>3.9677568832332741E-2</v>
      </c>
      <c r="D37" s="41">
        <v>88916</v>
      </c>
      <c r="E37" s="42">
        <v>8.3017134491567196E-2</v>
      </c>
      <c r="F37" s="49">
        <v>47.794433131588214</v>
      </c>
      <c r="G37" s="45">
        <v>-52.205566868411786</v>
      </c>
      <c r="I37" s="10"/>
    </row>
    <row r="38" spans="1:10" x14ac:dyDescent="0.35">
      <c r="A38" s="39" t="s">
        <v>152</v>
      </c>
      <c r="B38" s="33">
        <v>14970</v>
      </c>
      <c r="C38" s="42">
        <v>7.622859412474603E-2</v>
      </c>
      <c r="D38" s="41">
        <v>97231</v>
      </c>
      <c r="E38" s="42">
        <v>9.0780500739457134E-2</v>
      </c>
      <c r="F38" s="49">
        <v>83.970228742761037</v>
      </c>
      <c r="G38" s="45">
        <v>-16.029771257238963</v>
      </c>
      <c r="I38" s="10"/>
    </row>
    <row r="39" spans="1:10" x14ac:dyDescent="0.35">
      <c r="A39" s="39" t="s">
        <v>150</v>
      </c>
      <c r="B39" s="33">
        <v>2753</v>
      </c>
      <c r="C39" s="42">
        <v>1.4018525025078546E-2</v>
      </c>
      <c r="D39" s="41">
        <v>78164</v>
      </c>
      <c r="E39" s="42">
        <v>7.2978443704157389E-2</v>
      </c>
      <c r="F39" s="49">
        <v>19.209131235940493</v>
      </c>
      <c r="G39" s="45">
        <v>-80.79086876405951</v>
      </c>
      <c r="I39" s="10"/>
      <c r="J39" s="10"/>
    </row>
    <row r="40" spans="1:10" x14ac:dyDescent="0.35">
      <c r="A40" s="39" t="s">
        <v>151</v>
      </c>
      <c r="B40" s="33">
        <v>5558</v>
      </c>
      <c r="C40" s="42">
        <v>2.8301838753863624E-2</v>
      </c>
      <c r="D40" s="41">
        <v>91827</v>
      </c>
      <c r="E40" s="42">
        <v>8.5735012921826684E-2</v>
      </c>
      <c r="F40" s="63">
        <v>33.010829285894303</v>
      </c>
      <c r="G40" s="91">
        <v>-66.989170714105697</v>
      </c>
      <c r="I40" s="10"/>
      <c r="J40" s="10"/>
    </row>
    <row r="41" spans="1:10" x14ac:dyDescent="0.35">
      <c r="A41" s="39" t="s">
        <v>156</v>
      </c>
      <c r="B41" s="33">
        <v>7642</v>
      </c>
      <c r="C41" s="42">
        <v>3.891375526394851E-2</v>
      </c>
      <c r="D41" s="41">
        <v>72824</v>
      </c>
      <c r="E41" s="42">
        <v>6.7992709998356757E-2</v>
      </c>
      <c r="F41" s="49">
        <v>57.232246317125721</v>
      </c>
      <c r="G41" s="45">
        <v>-42.767753682874279</v>
      </c>
      <c r="I41" s="10"/>
    </row>
    <row r="42" spans="1:10" x14ac:dyDescent="0.35">
      <c r="A42" s="39" t="s">
        <v>157</v>
      </c>
      <c r="B42" s="33">
        <v>995</v>
      </c>
      <c r="C42" s="42">
        <v>5.066630003615384E-3</v>
      </c>
      <c r="D42" s="41">
        <v>22538</v>
      </c>
      <c r="E42" s="42">
        <v>2.1042783944070151E-2</v>
      </c>
      <c r="F42" s="49">
        <v>24.077755191908238</v>
      </c>
      <c r="G42" s="45">
        <v>-75.922244808091762</v>
      </c>
      <c r="I42" s="10"/>
    </row>
    <row r="43" spans="1:10" x14ac:dyDescent="0.35">
      <c r="A43" s="39" t="s">
        <v>158</v>
      </c>
      <c r="B43" s="33">
        <v>1533</v>
      </c>
      <c r="C43" s="42">
        <v>7.8061746688868183E-3</v>
      </c>
      <c r="D43" s="41">
        <v>23573</v>
      </c>
      <c r="E43" s="42">
        <v>2.2009119971318027E-2</v>
      </c>
      <c r="F43" s="49">
        <v>35.467909117037458</v>
      </c>
      <c r="G43" s="45">
        <v>-64.532090882962535</v>
      </c>
      <c r="I43" s="10"/>
    </row>
    <row r="44" spans="1:10" x14ac:dyDescent="0.35">
      <c r="A44" s="39" t="s">
        <v>159</v>
      </c>
      <c r="B44" s="33">
        <v>5135</v>
      </c>
      <c r="C44" s="42">
        <v>2.6147884491020099E-2</v>
      </c>
      <c r="D44" s="41">
        <v>101893</v>
      </c>
      <c r="E44" s="42">
        <v>9.51332143230606E-2</v>
      </c>
      <c r="F44" s="49">
        <v>27.485547163606945</v>
      </c>
      <c r="G44" s="45">
        <v>-72.514452836393048</v>
      </c>
      <c r="I44" s="10"/>
    </row>
    <row r="45" spans="1:10" x14ac:dyDescent="0.35">
      <c r="A45" s="39" t="s">
        <v>160</v>
      </c>
      <c r="B45" s="33">
        <v>4934</v>
      </c>
      <c r="C45" s="42">
        <v>2.5124374309385231E-2</v>
      </c>
      <c r="D45" s="41">
        <v>38171</v>
      </c>
      <c r="E45" s="42">
        <v>3.5638659416501101E-2</v>
      </c>
      <c r="F45" s="49">
        <v>70.497529145982313</v>
      </c>
      <c r="G45" s="45">
        <v>-29.502470854017687</v>
      </c>
      <c r="I45" s="10"/>
    </row>
    <row r="46" spans="1:10" x14ac:dyDescent="0.35">
      <c r="A46" s="39" t="s">
        <v>161</v>
      </c>
      <c r="B46" s="33">
        <v>5332</v>
      </c>
      <c r="C46" s="42">
        <v>2.7151026310831387E-2</v>
      </c>
      <c r="D46" s="41">
        <v>84848</v>
      </c>
      <c r="E46" s="42">
        <v>7.9219013758384249E-2</v>
      </c>
      <c r="F46" s="49">
        <v>34.273370776416442</v>
      </c>
      <c r="G46" s="45">
        <v>-65.726629223583558</v>
      </c>
      <c r="I46" s="10"/>
    </row>
    <row r="47" spans="1:10" s="15" customFormat="1" x14ac:dyDescent="0.35">
      <c r="A47" s="39" t="s">
        <v>162</v>
      </c>
      <c r="B47" s="33">
        <v>14643</v>
      </c>
      <c r="C47" s="42">
        <v>7.4563480545668415E-2</v>
      </c>
      <c r="D47" s="41">
        <v>24939</v>
      </c>
      <c r="E47" s="42">
        <v>2.3284496795685752E-2</v>
      </c>
      <c r="F47" s="49">
        <v>320.228009219782</v>
      </c>
      <c r="G47" s="45">
        <v>220.228009219782</v>
      </c>
    </row>
    <row r="48" spans="1:10" s="15" customFormat="1" x14ac:dyDescent="0.35">
      <c r="A48" s="39" t="s">
        <v>163</v>
      </c>
      <c r="B48" s="33">
        <v>4904</v>
      </c>
      <c r="C48" s="42">
        <v>2.4971611595708387E-2</v>
      </c>
      <c r="D48" s="41">
        <v>21073</v>
      </c>
      <c r="E48" s="42">
        <v>1.9674974977965672E-2</v>
      </c>
      <c r="F48" s="49">
        <v>126.92067778319671</v>
      </c>
      <c r="G48" s="45">
        <v>26.920677783196709</v>
      </c>
    </row>
    <row r="49" spans="1:8" s="15" customFormat="1" x14ac:dyDescent="0.35">
      <c r="A49" s="39" t="s">
        <v>164</v>
      </c>
      <c r="B49" s="33">
        <v>635</v>
      </c>
      <c r="C49" s="42">
        <v>3.233477439493235E-3</v>
      </c>
      <c r="D49" s="41">
        <v>16926</v>
      </c>
      <c r="E49" s="42">
        <v>1.5803095262992783E-2</v>
      </c>
      <c r="F49" s="49">
        <v>20.461038712240732</v>
      </c>
      <c r="G49" s="45">
        <v>-79.538961287759264</v>
      </c>
    </row>
    <row r="50" spans="1:8" s="15" customFormat="1" x14ac:dyDescent="0.35">
      <c r="A50" s="39" t="s">
        <v>165</v>
      </c>
      <c r="B50" s="33">
        <v>2666</v>
      </c>
      <c r="C50" s="38">
        <v>1.3575513155415693E-2</v>
      </c>
      <c r="D50" s="41">
        <v>33239</v>
      </c>
      <c r="E50" s="38">
        <v>3.1033858173615571E-2</v>
      </c>
      <c r="F50" s="63">
        <v>43.744200542094866</v>
      </c>
      <c r="G50" s="91">
        <v>-56.255799457905134</v>
      </c>
    </row>
    <row r="51" spans="1:8" s="15" customFormat="1" x14ac:dyDescent="0.35">
      <c r="A51" s="121" t="s">
        <v>54</v>
      </c>
      <c r="B51" s="122">
        <v>879</v>
      </c>
      <c r="C51" s="123" t="s">
        <v>133</v>
      </c>
      <c r="D51" s="124">
        <v>1218</v>
      </c>
      <c r="E51" s="123" t="s">
        <v>133</v>
      </c>
      <c r="F51" s="124"/>
      <c r="G51" s="125"/>
    </row>
    <row r="52" spans="1:8" x14ac:dyDescent="0.35">
      <c r="A52" s="62" t="s">
        <v>884</v>
      </c>
      <c r="B52" s="226">
        <v>196383</v>
      </c>
      <c r="C52" s="225"/>
      <c r="D52" s="224">
        <v>1071056</v>
      </c>
      <c r="E52" s="225"/>
      <c r="F52" s="58"/>
      <c r="G52" s="46"/>
    </row>
    <row r="53" spans="1:8" ht="15" customHeight="1" x14ac:dyDescent="0.35">
      <c r="A53" s="277" t="s">
        <v>415</v>
      </c>
      <c r="B53" s="277"/>
      <c r="C53" s="277"/>
      <c r="D53" s="277"/>
      <c r="E53" s="277"/>
      <c r="F53" s="277"/>
      <c r="G53" s="277"/>
    </row>
    <row r="54" spans="1:8" x14ac:dyDescent="0.35">
      <c r="A54" s="18"/>
      <c r="B54" s="18"/>
      <c r="C54" s="18"/>
      <c r="D54" s="18"/>
      <c r="E54" s="18"/>
      <c r="F54" s="18"/>
    </row>
    <row r="55" spans="1:8" ht="14.5" x14ac:dyDescent="0.35">
      <c r="A55" s="17" t="s">
        <v>75</v>
      </c>
      <c r="B55" s="16"/>
      <c r="C55" s="16"/>
      <c r="D55" s="16"/>
      <c r="E55" s="16"/>
      <c r="F55" s="16"/>
      <c r="G55" s="47"/>
    </row>
    <row r="56" spans="1:8" ht="40" customHeight="1" x14ac:dyDescent="0.35">
      <c r="A56" s="248" t="s">
        <v>76</v>
      </c>
      <c r="B56" s="227" t="s">
        <v>890</v>
      </c>
      <c r="C56" s="243" t="s">
        <v>890</v>
      </c>
      <c r="D56" s="227" t="s">
        <v>891</v>
      </c>
      <c r="E56" s="228" t="s">
        <v>891</v>
      </c>
      <c r="F56" s="235" t="s">
        <v>1</v>
      </c>
      <c r="G56" s="236" t="s">
        <v>1</v>
      </c>
    </row>
    <row r="57" spans="1:8" x14ac:dyDescent="0.35">
      <c r="A57" s="239" t="s">
        <v>866</v>
      </c>
      <c r="B57" s="35" t="s">
        <v>73</v>
      </c>
      <c r="C57" s="36" t="s">
        <v>74</v>
      </c>
      <c r="D57" s="34" t="s">
        <v>73</v>
      </c>
      <c r="E57" s="36" t="s">
        <v>74</v>
      </c>
      <c r="F57" s="237" t="s">
        <v>864</v>
      </c>
      <c r="G57" s="238" t="s">
        <v>865</v>
      </c>
    </row>
    <row r="58" spans="1:8" x14ac:dyDescent="0.35">
      <c r="A58" s="39" t="s">
        <v>55</v>
      </c>
      <c r="B58" s="33">
        <v>10425</v>
      </c>
      <c r="C58" s="48">
        <v>5.3852591123233325E-2</v>
      </c>
      <c r="D58" s="49">
        <v>11120</v>
      </c>
      <c r="E58" s="48">
        <v>1.0556133569264185E-2</v>
      </c>
      <c r="F58" s="49">
        <v>510.15450657079089</v>
      </c>
      <c r="G58" s="45">
        <v>410.15450657079089</v>
      </c>
    </row>
    <row r="59" spans="1:8" x14ac:dyDescent="0.35">
      <c r="A59" s="39" t="s">
        <v>56</v>
      </c>
      <c r="B59" s="33">
        <v>9500</v>
      </c>
      <c r="C59" s="42">
        <v>4.9074303661459623E-2</v>
      </c>
      <c r="D59" s="41">
        <v>89021</v>
      </c>
      <c r="E59" s="42">
        <v>8.4506975401930487E-2</v>
      </c>
      <c r="F59" s="49">
        <v>58.071305271610228</v>
      </c>
      <c r="G59" s="45">
        <v>-41.928694728389772</v>
      </c>
    </row>
    <row r="60" spans="1:8" x14ac:dyDescent="0.35">
      <c r="A60" s="39" t="s">
        <v>57</v>
      </c>
      <c r="B60" s="33">
        <v>484</v>
      </c>
      <c r="C60" s="42">
        <v>2.5002066286469956E-3</v>
      </c>
      <c r="D60" s="41">
        <v>29285</v>
      </c>
      <c r="E60" s="42">
        <v>2.7800033415099068E-2</v>
      </c>
      <c r="F60" s="49">
        <v>8.9935382138391784</v>
      </c>
      <c r="G60" s="45">
        <v>-91.006461786160827</v>
      </c>
    </row>
    <row r="61" spans="1:8" x14ac:dyDescent="0.35">
      <c r="A61" s="39" t="s">
        <v>58</v>
      </c>
      <c r="B61" s="33">
        <v>116</v>
      </c>
      <c r="C61" s="42">
        <v>5.9922307628729643E-4</v>
      </c>
      <c r="D61" s="41">
        <v>46963</v>
      </c>
      <c r="E61" s="42">
        <v>4.4581627770985059E-2</v>
      </c>
      <c r="F61" s="49">
        <v>1.3441031793758038</v>
      </c>
      <c r="G61" s="45">
        <v>-98.655896820624193</v>
      </c>
    </row>
    <row r="62" spans="1:8" x14ac:dyDescent="0.35">
      <c r="A62" s="39" t="s">
        <v>59</v>
      </c>
      <c r="B62" s="33">
        <v>12596</v>
      </c>
      <c r="C62" s="42">
        <v>6.5067360938920571E-2</v>
      </c>
      <c r="D62" s="41">
        <v>84791</v>
      </c>
      <c r="E62" s="42">
        <v>8.0491467758226576E-2</v>
      </c>
      <c r="F62" s="49">
        <v>80.837587822804252</v>
      </c>
      <c r="G62" s="45">
        <v>-19.162412177195748</v>
      </c>
      <c r="H62" s="10"/>
    </row>
    <row r="63" spans="1:8" x14ac:dyDescent="0.35">
      <c r="A63" s="39" t="s">
        <v>60</v>
      </c>
      <c r="B63" s="33">
        <v>4725</v>
      </c>
      <c r="C63" s="42">
        <v>2.4408008926357552E-2</v>
      </c>
      <c r="D63" s="41">
        <v>72995</v>
      </c>
      <c r="E63" s="42">
        <v>6.9293612400039492E-2</v>
      </c>
      <c r="F63" s="49">
        <v>35.224038812477382</v>
      </c>
      <c r="G63" s="45">
        <v>-64.775961187522626</v>
      </c>
      <c r="H63" s="10"/>
    </row>
    <row r="64" spans="1:8" x14ac:dyDescent="0.35">
      <c r="A64" s="39" t="s">
        <v>61</v>
      </c>
      <c r="B64" s="33">
        <v>14290</v>
      </c>
      <c r="C64" s="42">
        <v>7.3818084139185058E-2</v>
      </c>
      <c r="D64" s="41">
        <v>101967</v>
      </c>
      <c r="E64" s="42">
        <v>9.6796517235356219E-2</v>
      </c>
      <c r="F64" s="49">
        <v>76.261095179385251</v>
      </c>
      <c r="G64" s="45">
        <v>-23.738904820614749</v>
      </c>
      <c r="H64" s="10"/>
    </row>
    <row r="65" spans="1:13" x14ac:dyDescent="0.35">
      <c r="A65" s="39" t="s">
        <v>62</v>
      </c>
      <c r="B65" s="33">
        <v>9256</v>
      </c>
      <c r="C65" s="42">
        <v>4.7813868914786346E-2</v>
      </c>
      <c r="D65" s="41">
        <v>129491</v>
      </c>
      <c r="E65" s="42">
        <v>0.1229248464044594</v>
      </c>
      <c r="F65" s="49">
        <v>38.896830310012717</v>
      </c>
      <c r="G65" s="45">
        <v>-61.103169689987283</v>
      </c>
      <c r="H65" s="10"/>
    </row>
    <row r="66" spans="1:13" x14ac:dyDescent="0.35">
      <c r="A66" s="39" t="s">
        <v>63</v>
      </c>
      <c r="B66" s="33">
        <v>13163</v>
      </c>
      <c r="C66" s="42">
        <v>6.7996322010083474E-2</v>
      </c>
      <c r="D66" s="41">
        <v>99739</v>
      </c>
      <c r="E66" s="42">
        <v>9.4681493351154722E-2</v>
      </c>
      <c r="F66" s="49">
        <v>71.815852922702334</v>
      </c>
      <c r="G66" s="45">
        <v>-28.184147077297666</v>
      </c>
      <c r="H66" s="10"/>
    </row>
    <row r="67" spans="1:13" x14ac:dyDescent="0.35">
      <c r="A67" s="39" t="s">
        <v>64</v>
      </c>
      <c r="B67" s="33">
        <v>2244</v>
      </c>
      <c r="C67" s="42">
        <v>1.1591867096454253E-2</v>
      </c>
      <c r="D67" s="41">
        <v>62587</v>
      </c>
      <c r="E67" s="42">
        <v>5.9413375152836109E-2</v>
      </c>
      <c r="F67" s="63">
        <v>19.510534566728637</v>
      </c>
      <c r="G67" s="91">
        <v>-80.489465433271363</v>
      </c>
      <c r="H67" s="10"/>
    </row>
    <row r="68" spans="1:13" x14ac:dyDescent="0.35">
      <c r="A68" s="39" t="s">
        <v>65</v>
      </c>
      <c r="B68" s="33">
        <v>7316</v>
      </c>
      <c r="C68" s="42">
        <v>3.7792379535498799E-2</v>
      </c>
      <c r="D68" s="41">
        <v>39671</v>
      </c>
      <c r="E68" s="42">
        <v>3.7659386225384846E-2</v>
      </c>
      <c r="F68" s="49">
        <v>100.35314784292557</v>
      </c>
      <c r="G68" s="45">
        <v>0.35314784292556567</v>
      </c>
      <c r="H68" s="10"/>
    </row>
    <row r="69" spans="1:13" x14ac:dyDescent="0.35">
      <c r="A69" s="39" t="s">
        <v>66</v>
      </c>
      <c r="B69" s="33">
        <v>6854</v>
      </c>
      <c r="C69" s="42">
        <v>3.5405818662699394E-2</v>
      </c>
      <c r="D69" s="41">
        <v>57041</v>
      </c>
      <c r="E69" s="42">
        <v>5.4148598464424311E-2</v>
      </c>
      <c r="F69" s="49">
        <v>65.386399032951985</v>
      </c>
      <c r="G69" s="45">
        <v>-34.613600967048015</v>
      </c>
      <c r="H69" s="10"/>
    </row>
    <row r="70" spans="1:13" x14ac:dyDescent="0.35">
      <c r="A70" s="39" t="s">
        <v>67</v>
      </c>
      <c r="B70" s="33">
        <v>3318</v>
      </c>
      <c r="C70" s="42">
        <v>1.7139846268286636E-2</v>
      </c>
      <c r="D70" s="41">
        <v>103575</v>
      </c>
      <c r="E70" s="42">
        <v>9.8322979715515998E-2</v>
      </c>
      <c r="F70" s="49">
        <v>17.432187590203654</v>
      </c>
      <c r="G70" s="45">
        <v>-82.567812409796346</v>
      </c>
      <c r="H70" s="10"/>
    </row>
    <row r="71" spans="1:13" s="15" customFormat="1" x14ac:dyDescent="0.35">
      <c r="A71" s="39" t="s">
        <v>68</v>
      </c>
      <c r="B71" s="33">
        <v>24332</v>
      </c>
      <c r="C71" s="42">
        <v>0.12569220596743533</v>
      </c>
      <c r="D71" s="41">
        <v>30456</v>
      </c>
      <c r="E71" s="42">
        <v>2.8911655034668166E-2</v>
      </c>
      <c r="F71" s="49">
        <v>434.74579997830267</v>
      </c>
      <c r="G71" s="45">
        <v>334.74579997830267</v>
      </c>
      <c r="H71" s="10"/>
    </row>
    <row r="72" spans="1:13" s="15" customFormat="1" x14ac:dyDescent="0.35">
      <c r="A72" s="39" t="s">
        <v>69</v>
      </c>
      <c r="B72" s="33">
        <v>74964</v>
      </c>
      <c r="C72" s="42">
        <v>0.38724274733449043</v>
      </c>
      <c r="D72" s="41">
        <v>94712</v>
      </c>
      <c r="E72" s="42">
        <v>8.9909399515481062E-2</v>
      </c>
      <c r="F72" s="49">
        <v>430.70329623079397</v>
      </c>
      <c r="G72" s="45">
        <v>330.70329623079397</v>
      </c>
      <c r="H72" s="10"/>
    </row>
    <row r="73" spans="1:13" s="15" customFormat="1" x14ac:dyDescent="0.35">
      <c r="A73" s="121" t="s">
        <v>54</v>
      </c>
      <c r="B73" s="122">
        <v>0</v>
      </c>
      <c r="C73" s="123" t="s">
        <v>133</v>
      </c>
      <c r="D73" s="124">
        <v>0</v>
      </c>
      <c r="E73" s="123" t="s">
        <v>133</v>
      </c>
      <c r="F73" s="124"/>
      <c r="G73" s="125"/>
    </row>
    <row r="74" spans="1:13" x14ac:dyDescent="0.35">
      <c r="A74" s="62" t="s">
        <v>884</v>
      </c>
      <c r="B74" s="226">
        <v>193584</v>
      </c>
      <c r="C74" s="225"/>
      <c r="D74" s="224">
        <v>1053416</v>
      </c>
      <c r="E74" s="225"/>
      <c r="F74" s="58"/>
      <c r="G74" s="46"/>
    </row>
    <row r="75" spans="1:13" ht="15" customHeight="1" x14ac:dyDescent="0.35">
      <c r="A75" s="277" t="s">
        <v>415</v>
      </c>
      <c r="B75" s="277"/>
      <c r="C75" s="277"/>
      <c r="D75" s="277"/>
      <c r="E75" s="277"/>
      <c r="F75" s="277"/>
      <c r="G75" s="277"/>
    </row>
    <row r="76" spans="1:13" ht="15" customHeight="1" x14ac:dyDescent="0.35">
      <c r="A76" s="43"/>
      <c r="B76" s="43"/>
      <c r="C76" s="43"/>
      <c r="D76" s="43"/>
      <c r="E76" s="43"/>
      <c r="F76" s="43"/>
      <c r="G76" s="43"/>
    </row>
    <row r="77" spans="1:13" ht="9.75" customHeight="1" x14ac:dyDescent="0.35">
      <c r="A77" s="278" t="s">
        <v>522</v>
      </c>
      <c r="B77" s="278"/>
      <c r="C77" s="278"/>
      <c r="D77" s="278"/>
      <c r="E77" s="278"/>
      <c r="F77" s="278"/>
      <c r="G77" s="278"/>
      <c r="I77" s="20"/>
      <c r="J77" s="20"/>
      <c r="K77" s="20"/>
      <c r="L77" s="20"/>
      <c r="M77" s="20"/>
    </row>
    <row r="78" spans="1:13" ht="9.75" customHeight="1" x14ac:dyDescent="0.35">
      <c r="A78" s="278"/>
      <c r="B78" s="278"/>
      <c r="C78" s="278"/>
      <c r="D78" s="278"/>
      <c r="E78" s="278"/>
      <c r="F78" s="278"/>
      <c r="G78" s="278"/>
      <c r="I78" s="20"/>
      <c r="J78" s="20"/>
      <c r="K78" s="20"/>
      <c r="L78" s="20"/>
      <c r="M78" s="20"/>
    </row>
    <row r="79" spans="1:13" x14ac:dyDescent="0.35">
      <c r="A79" s="5"/>
      <c r="D79" s="5"/>
      <c r="E79" s="5"/>
      <c r="F79" s="5"/>
      <c r="G79" s="51"/>
    </row>
    <row r="80" spans="1:13" x14ac:dyDescent="0.35">
      <c r="A80" s="5"/>
      <c r="D80" s="5"/>
      <c r="E80" s="5"/>
      <c r="F80" s="5"/>
      <c r="G80" s="51"/>
    </row>
    <row r="85" spans="1:3" x14ac:dyDescent="0.35">
      <c r="A85" s="2"/>
      <c r="B85" s="2"/>
      <c r="C85" s="2"/>
    </row>
    <row r="86" spans="1:3" x14ac:dyDescent="0.35">
      <c r="A86" s="2"/>
      <c r="B86" s="2"/>
      <c r="C86" s="2"/>
    </row>
    <row r="87" spans="1:3" x14ac:dyDescent="0.35">
      <c r="A87" s="2"/>
      <c r="B87" s="2"/>
      <c r="C87" s="2"/>
    </row>
    <row r="88" spans="1:3" x14ac:dyDescent="0.35">
      <c r="A88" s="2"/>
      <c r="B88" s="2"/>
      <c r="C88" s="2"/>
    </row>
    <row r="89" spans="1:3" x14ac:dyDescent="0.35">
      <c r="A89" s="2"/>
      <c r="B89" s="2"/>
      <c r="C89" s="2"/>
    </row>
    <row r="90" spans="1:3" x14ac:dyDescent="0.35">
      <c r="A90" s="2"/>
      <c r="B90" s="2"/>
      <c r="C90" s="2"/>
    </row>
    <row r="91" spans="1:3" x14ac:dyDescent="0.35">
      <c r="A91" s="2"/>
      <c r="B91" s="2"/>
      <c r="C91" s="2"/>
    </row>
    <row r="92" spans="1:3" x14ac:dyDescent="0.35">
      <c r="A92" s="2"/>
      <c r="B92" s="2"/>
      <c r="C92" s="2"/>
    </row>
    <row r="93" spans="1:3" x14ac:dyDescent="0.35">
      <c r="A93" s="2"/>
      <c r="B93" s="2"/>
      <c r="C93" s="2"/>
    </row>
    <row r="94" spans="1:3" x14ac:dyDescent="0.35">
      <c r="A94" s="2"/>
      <c r="B94" s="2"/>
      <c r="C94" s="2"/>
    </row>
    <row r="95" spans="1:3" x14ac:dyDescent="0.35">
      <c r="A95" s="2"/>
      <c r="B95" s="2"/>
      <c r="C95" s="2"/>
    </row>
    <row r="96" spans="1:3" x14ac:dyDescent="0.35">
      <c r="A96" s="2"/>
      <c r="B96" s="2"/>
      <c r="C96" s="2"/>
    </row>
    <row r="97" spans="1:3" x14ac:dyDescent="0.35">
      <c r="A97" s="2"/>
      <c r="B97" s="2"/>
      <c r="C97" s="2"/>
    </row>
    <row r="98" spans="1:3" x14ac:dyDescent="0.35">
      <c r="A98" s="2"/>
      <c r="B98" s="2"/>
      <c r="C98" s="2"/>
    </row>
    <row r="99" spans="1:3" x14ac:dyDescent="0.35">
      <c r="A99" s="2"/>
      <c r="B99" s="2"/>
      <c r="C99" s="2"/>
    </row>
    <row r="100" spans="1:3" x14ac:dyDescent="0.35">
      <c r="A100" s="2"/>
      <c r="B100" s="2"/>
      <c r="C100" s="2"/>
    </row>
    <row r="101" spans="1:3" x14ac:dyDescent="0.35">
      <c r="A101" s="2"/>
      <c r="B101" s="2"/>
      <c r="C101" s="2"/>
    </row>
    <row r="102" spans="1:3" x14ac:dyDescent="0.35">
      <c r="A102" s="2"/>
      <c r="B102" s="2"/>
      <c r="C102" s="2"/>
    </row>
    <row r="103" spans="1:3" x14ac:dyDescent="0.35">
      <c r="A103" s="2"/>
      <c r="B103" s="2"/>
      <c r="C103" s="2"/>
    </row>
    <row r="104" spans="1:3" x14ac:dyDescent="0.35">
      <c r="A104" s="2"/>
      <c r="B104" s="2"/>
      <c r="C104" s="2"/>
    </row>
    <row r="105" spans="1:3" x14ac:dyDescent="0.35">
      <c r="A105" s="2"/>
      <c r="B105" s="2"/>
      <c r="C105" s="2"/>
    </row>
    <row r="106" spans="1:3" x14ac:dyDescent="0.35">
      <c r="A106" s="2"/>
      <c r="B106" s="2"/>
      <c r="C106" s="2"/>
    </row>
    <row r="107" spans="1:3" x14ac:dyDescent="0.35">
      <c r="A107" s="2"/>
      <c r="B107" s="2"/>
      <c r="C107" s="2"/>
    </row>
    <row r="108" spans="1:3" x14ac:dyDescent="0.35">
      <c r="A108" s="2"/>
      <c r="B108" s="2"/>
      <c r="C108" s="2"/>
    </row>
    <row r="109" spans="1:3" x14ac:dyDescent="0.35">
      <c r="A109" s="2"/>
      <c r="B109" s="2"/>
      <c r="C109" s="2"/>
    </row>
    <row r="110" spans="1:3" x14ac:dyDescent="0.35">
      <c r="A110" s="2"/>
      <c r="B110" s="2"/>
      <c r="C110" s="2"/>
    </row>
    <row r="111" spans="1:3" x14ac:dyDescent="0.35">
      <c r="A111" s="2"/>
      <c r="B111" s="2"/>
      <c r="C111" s="2"/>
    </row>
    <row r="112" spans="1:3" x14ac:dyDescent="0.35">
      <c r="A112" s="2"/>
      <c r="B112" s="2"/>
      <c r="C112" s="2"/>
    </row>
    <row r="113" spans="1:3" x14ac:dyDescent="0.35">
      <c r="A113" s="2"/>
      <c r="B113" s="2"/>
      <c r="C113" s="2"/>
    </row>
    <row r="114" spans="1:3" x14ac:dyDescent="0.35">
      <c r="A114" s="2"/>
      <c r="B114" s="2"/>
      <c r="C114" s="2"/>
    </row>
    <row r="115" spans="1:3" x14ac:dyDescent="0.35">
      <c r="A115" s="2"/>
      <c r="B115" s="2"/>
      <c r="C115" s="2"/>
    </row>
    <row r="116" spans="1:3" x14ac:dyDescent="0.35">
      <c r="A116" s="2"/>
      <c r="B116" s="2"/>
      <c r="C116" s="2"/>
    </row>
    <row r="117" spans="1:3" x14ac:dyDescent="0.35">
      <c r="A117" s="2"/>
      <c r="B117" s="2"/>
      <c r="C117" s="2"/>
    </row>
    <row r="118" spans="1:3" x14ac:dyDescent="0.35">
      <c r="A118" s="2"/>
      <c r="B118" s="2"/>
      <c r="C118" s="2"/>
    </row>
    <row r="119" spans="1:3" x14ac:dyDescent="0.35">
      <c r="A119" s="2"/>
      <c r="B119" s="2"/>
      <c r="C119" s="2"/>
    </row>
    <row r="120" spans="1:3" x14ac:dyDescent="0.35">
      <c r="A120" s="2"/>
      <c r="B120" s="2"/>
      <c r="C120" s="2"/>
    </row>
    <row r="121" spans="1:3" x14ac:dyDescent="0.35">
      <c r="A121" s="2"/>
      <c r="B121" s="2"/>
      <c r="C121" s="2"/>
    </row>
    <row r="122" spans="1:3" x14ac:dyDescent="0.35">
      <c r="A122" s="2"/>
      <c r="B122" s="2"/>
      <c r="C122" s="2"/>
    </row>
    <row r="123" spans="1:3" x14ac:dyDescent="0.35">
      <c r="A123" s="2"/>
      <c r="B123" s="2"/>
      <c r="C123" s="2"/>
    </row>
    <row r="124" spans="1:3" x14ac:dyDescent="0.35">
      <c r="A124" s="2"/>
      <c r="B124" s="2"/>
      <c r="C124" s="2"/>
    </row>
    <row r="125" spans="1:3" x14ac:dyDescent="0.35">
      <c r="A125" s="2"/>
      <c r="B125" s="2"/>
      <c r="C125" s="2"/>
    </row>
    <row r="126" spans="1:3" x14ac:dyDescent="0.35">
      <c r="A126" s="2"/>
      <c r="B126" s="2"/>
      <c r="C126" s="2"/>
    </row>
    <row r="127" spans="1:3" x14ac:dyDescent="0.35">
      <c r="A127" s="2"/>
      <c r="B127" s="2"/>
      <c r="C127" s="2"/>
    </row>
    <row r="128" spans="1:3" x14ac:dyDescent="0.35">
      <c r="A128" s="2"/>
      <c r="B128" s="2"/>
      <c r="C128" s="2"/>
    </row>
    <row r="129" spans="1:3" x14ac:dyDescent="0.35">
      <c r="A129" s="2"/>
      <c r="B129" s="2"/>
      <c r="C129" s="2"/>
    </row>
    <row r="130" spans="1:3" x14ac:dyDescent="0.35">
      <c r="A130" s="2"/>
      <c r="B130" s="2"/>
      <c r="C130" s="2"/>
    </row>
    <row r="131" spans="1:3" x14ac:dyDescent="0.35">
      <c r="A131" s="2"/>
      <c r="B131" s="2"/>
      <c r="C131" s="2"/>
    </row>
    <row r="132" spans="1:3" x14ac:dyDescent="0.35">
      <c r="A132" s="2"/>
      <c r="B132" s="2"/>
      <c r="C132" s="2"/>
    </row>
    <row r="133" spans="1:3" x14ac:dyDescent="0.35">
      <c r="A133" s="2"/>
      <c r="B133" s="2"/>
      <c r="C133" s="2"/>
    </row>
    <row r="134" spans="1:3" x14ac:dyDescent="0.35">
      <c r="A134" s="2"/>
      <c r="B134" s="2"/>
      <c r="C134" s="2"/>
    </row>
    <row r="135" spans="1:3" x14ac:dyDescent="0.35">
      <c r="A135" s="2"/>
      <c r="B135" s="2"/>
      <c r="C135" s="2"/>
    </row>
    <row r="136" spans="1:3" x14ac:dyDescent="0.35">
      <c r="A136" s="2"/>
      <c r="B136" s="2"/>
      <c r="C136" s="2"/>
    </row>
    <row r="137" spans="1:3" x14ac:dyDescent="0.35">
      <c r="A137" s="2"/>
      <c r="B137" s="2"/>
      <c r="C137" s="2"/>
    </row>
    <row r="138" spans="1:3" x14ac:dyDescent="0.35">
      <c r="A138" s="2"/>
      <c r="B138" s="2"/>
      <c r="C138" s="2"/>
    </row>
    <row r="139" spans="1:3" x14ac:dyDescent="0.35">
      <c r="A139" s="2"/>
      <c r="B139" s="2"/>
      <c r="C139" s="2"/>
    </row>
    <row r="140" spans="1:3" x14ac:dyDescent="0.35">
      <c r="A140" s="2"/>
      <c r="B140" s="2"/>
      <c r="C140" s="2"/>
    </row>
    <row r="141" spans="1:3" x14ac:dyDescent="0.35">
      <c r="A141" s="2"/>
      <c r="B141" s="2"/>
      <c r="C141" s="2"/>
    </row>
    <row r="142" spans="1:3" x14ac:dyDescent="0.35">
      <c r="A142" s="2"/>
      <c r="B142" s="2"/>
      <c r="C142" s="2"/>
    </row>
    <row r="143" spans="1:3" x14ac:dyDescent="0.35">
      <c r="A143" s="2"/>
      <c r="B143" s="2"/>
      <c r="C143" s="2"/>
    </row>
    <row r="144" spans="1:3" x14ac:dyDescent="0.35">
      <c r="A144" s="2"/>
      <c r="B144" s="2"/>
      <c r="C144" s="2"/>
    </row>
    <row r="145" spans="1:3" x14ac:dyDescent="0.35">
      <c r="A145" s="2"/>
      <c r="B145" s="2"/>
      <c r="C145" s="2"/>
    </row>
    <row r="146" spans="1:3" x14ac:dyDescent="0.35">
      <c r="A146" s="2"/>
      <c r="B146" s="2"/>
      <c r="C146" s="2"/>
    </row>
    <row r="147" spans="1:3" x14ac:dyDescent="0.35">
      <c r="A147" s="2"/>
      <c r="B147" s="2"/>
      <c r="C147" s="2"/>
    </row>
    <row r="148" spans="1:3" x14ac:dyDescent="0.35">
      <c r="A148" s="2"/>
      <c r="B148" s="2"/>
      <c r="C148" s="2"/>
    </row>
    <row r="149" spans="1:3" x14ac:dyDescent="0.35">
      <c r="A149" s="2"/>
      <c r="B149" s="2"/>
      <c r="C149" s="2"/>
    </row>
    <row r="150" spans="1:3" x14ac:dyDescent="0.35">
      <c r="A150" s="2"/>
      <c r="B150" s="2"/>
      <c r="C150" s="2"/>
    </row>
    <row r="151" spans="1:3" x14ac:dyDescent="0.35">
      <c r="A151" s="2"/>
      <c r="B151" s="2"/>
      <c r="C151" s="2"/>
    </row>
    <row r="152" spans="1:3" x14ac:dyDescent="0.35">
      <c r="A152" s="2"/>
      <c r="B152" s="2"/>
      <c r="C152" s="2"/>
    </row>
    <row r="153" spans="1:3" x14ac:dyDescent="0.35">
      <c r="A153" s="2"/>
      <c r="B153" s="2"/>
      <c r="C153" s="2"/>
    </row>
    <row r="154" spans="1:3" x14ac:dyDescent="0.35">
      <c r="A154" s="2"/>
      <c r="B154" s="2"/>
      <c r="C154" s="2"/>
    </row>
    <row r="155" spans="1:3" x14ac:dyDescent="0.35">
      <c r="A155" s="2"/>
      <c r="B155" s="2"/>
      <c r="C155" s="2"/>
    </row>
    <row r="156" spans="1:3" x14ac:dyDescent="0.35">
      <c r="A156" s="2"/>
      <c r="B156" s="2"/>
      <c r="C156" s="2"/>
    </row>
    <row r="157" spans="1:3" x14ac:dyDescent="0.35">
      <c r="A157" s="2"/>
      <c r="B157" s="2"/>
      <c r="C157" s="2"/>
    </row>
    <row r="158" spans="1:3" x14ac:dyDescent="0.35">
      <c r="A158" s="2"/>
      <c r="B158" s="2"/>
      <c r="C158" s="2"/>
    </row>
    <row r="159" spans="1:3" x14ac:dyDescent="0.35">
      <c r="A159" s="2"/>
      <c r="B159" s="2"/>
      <c r="C159" s="2"/>
    </row>
    <row r="160" spans="1:3" x14ac:dyDescent="0.35">
      <c r="A160" s="2"/>
      <c r="B160" s="2"/>
      <c r="C160" s="2"/>
    </row>
    <row r="161" spans="1:3" x14ac:dyDescent="0.35">
      <c r="A161" s="2"/>
      <c r="B161" s="2"/>
      <c r="C161" s="2"/>
    </row>
    <row r="162" spans="1:3" x14ac:dyDescent="0.35">
      <c r="A162" s="2"/>
      <c r="B162" s="2"/>
      <c r="C162" s="2"/>
    </row>
    <row r="163" spans="1:3" x14ac:dyDescent="0.35">
      <c r="A163" s="2"/>
      <c r="B163" s="2"/>
      <c r="C163" s="2"/>
    </row>
    <row r="164" spans="1:3" x14ac:dyDescent="0.35">
      <c r="A164" s="2"/>
      <c r="B164" s="2"/>
      <c r="C164" s="2"/>
    </row>
  </sheetData>
  <mergeCells count="6">
    <mergeCell ref="A26:G26"/>
    <mergeCell ref="A4:G5"/>
    <mergeCell ref="A78:G78"/>
    <mergeCell ref="A77:G77"/>
    <mergeCell ref="A75:G75"/>
    <mergeCell ref="A53:G53"/>
  </mergeCells>
  <conditionalFormatting sqref="F14:F24">
    <cfRule type="cellIs" dxfId="189" priority="46" operator="greaterThan">
      <formula>110</formula>
    </cfRule>
    <cfRule type="cellIs" dxfId="188" priority="47" operator="lessThan">
      <formula>90</formula>
    </cfRule>
  </conditionalFormatting>
  <conditionalFormatting sqref="F31:F50">
    <cfRule type="cellIs" dxfId="187" priority="9" operator="greaterThan">
      <formula>110</formula>
    </cfRule>
    <cfRule type="cellIs" dxfId="186" priority="10" operator="lessThan">
      <formula>90</formula>
    </cfRule>
  </conditionalFormatting>
  <conditionalFormatting sqref="F51">
    <cfRule type="cellIs" dxfId="185" priority="29" operator="greaterThan">
      <formula>110</formula>
    </cfRule>
    <cfRule type="cellIs" dxfId="184" priority="30" operator="lessThan">
      <formula>90</formula>
    </cfRule>
  </conditionalFormatting>
  <conditionalFormatting sqref="F58:F72">
    <cfRule type="cellIs" dxfId="183" priority="4" operator="greaterThan">
      <formula>110</formula>
    </cfRule>
    <cfRule type="cellIs" dxfId="182" priority="5" operator="lessThan">
      <formula>90</formula>
    </cfRule>
  </conditionalFormatting>
  <conditionalFormatting sqref="F73">
    <cfRule type="cellIs" dxfId="181" priority="24" operator="greaterThan">
      <formula>110</formula>
    </cfRule>
    <cfRule type="cellIs" dxfId="180" priority="25" operator="lessThan">
      <formula>90</formula>
    </cfRule>
  </conditionalFormatting>
  <conditionalFormatting sqref="G14:G24">
    <cfRule type="expression" dxfId="179" priority="43">
      <formula>AND(F14&lt;=90,(E14-C14&gt;=0.05))</formula>
    </cfRule>
    <cfRule type="expression" dxfId="178" priority="44">
      <formula>AND(F14&gt;=110,(C14-E14&gt;=0.05))</formula>
    </cfRule>
    <cfRule type="dataBar" priority="45">
      <dataBar showValue="0">
        <cfvo type="num" val="-100"/>
        <cfvo type="num" val="200"/>
        <color theme="8"/>
      </dataBar>
      <extLst>
        <ext xmlns:x14="http://schemas.microsoft.com/office/spreadsheetml/2009/9/main" uri="{B025F937-C7B1-47D3-B67F-A62EFF666E3E}">
          <x14:id>{AD637FA0-E332-41A2-AF11-9FB9DACDD862}</x14:id>
        </ext>
      </extLst>
    </cfRule>
  </conditionalFormatting>
  <conditionalFormatting sqref="G31:G50">
    <cfRule type="expression" dxfId="177" priority="6">
      <formula>AND(F31&lt;=90,(E31-C31&gt;=0.05))</formula>
    </cfRule>
    <cfRule type="expression" dxfId="176" priority="7">
      <formula>AND(F31&gt;=110,(C31-E31&gt;=0.05))</formula>
    </cfRule>
    <cfRule type="dataBar" priority="8">
      <dataBar showValue="0">
        <cfvo type="num" val="-100"/>
        <cfvo type="num" val="200"/>
        <color theme="8"/>
      </dataBar>
      <extLst>
        <ext xmlns:x14="http://schemas.microsoft.com/office/spreadsheetml/2009/9/main" uri="{B025F937-C7B1-47D3-B67F-A62EFF666E3E}">
          <x14:id>{CD286FA2-BBE7-4A59-9EA1-EBE9435E9775}</x14:id>
        </ext>
      </extLst>
    </cfRule>
  </conditionalFormatting>
  <conditionalFormatting sqref="G51">
    <cfRule type="expression" dxfId="175" priority="26">
      <formula>AND(F51&lt;=90,(E51-C51&gt;=0.05))</formula>
    </cfRule>
    <cfRule type="expression" dxfId="174" priority="27">
      <formula>AND(F51&gt;=110,(C51-E51&gt;=0.05))</formula>
    </cfRule>
    <cfRule type="dataBar" priority="28">
      <dataBar showValue="0">
        <cfvo type="num" val="-100"/>
        <cfvo type="num" val="200"/>
        <color theme="6"/>
      </dataBar>
      <extLst>
        <ext xmlns:x14="http://schemas.microsoft.com/office/spreadsheetml/2009/9/main" uri="{B025F937-C7B1-47D3-B67F-A62EFF666E3E}">
          <x14:id>{9DD06A93-501C-44B1-B019-734372AF3021}</x14:id>
        </ext>
      </extLst>
    </cfRule>
  </conditionalFormatting>
  <conditionalFormatting sqref="G58:G72">
    <cfRule type="expression" dxfId="173" priority="1">
      <formula>AND(F58&lt;=90,(E58-C58&gt;=0.05))</formula>
    </cfRule>
    <cfRule type="expression" dxfId="172" priority="2">
      <formula>AND(F58&gt;=110,(C58-E58&gt;=0.05))</formula>
    </cfRule>
    <cfRule type="dataBar" priority="3">
      <dataBar showValue="0">
        <cfvo type="num" val="-100"/>
        <cfvo type="num" val="200"/>
        <color theme="8"/>
      </dataBar>
      <extLst>
        <ext xmlns:x14="http://schemas.microsoft.com/office/spreadsheetml/2009/9/main" uri="{B025F937-C7B1-47D3-B67F-A62EFF666E3E}">
          <x14:id>{93482E6D-3560-49EC-A39A-777A798B4AA9}</x14:id>
        </ext>
      </extLst>
    </cfRule>
  </conditionalFormatting>
  <conditionalFormatting sqref="G73">
    <cfRule type="expression" dxfId="171" priority="21">
      <formula>AND(F73&lt;=90,(E73-C73&gt;=0.05))</formula>
    </cfRule>
    <cfRule type="expression" dxfId="170" priority="22">
      <formula>AND(F73&gt;=110,(C73-E73&gt;=0.05))</formula>
    </cfRule>
    <cfRule type="dataBar" priority="23">
      <dataBar showValue="0">
        <cfvo type="num" val="-100"/>
        <cfvo type="num" val="200"/>
        <color theme="6"/>
      </dataBar>
      <extLst>
        <ext xmlns:x14="http://schemas.microsoft.com/office/spreadsheetml/2009/9/main" uri="{B025F937-C7B1-47D3-B67F-A62EFF666E3E}">
          <x14:id>{33D1344B-A218-4B62-AD5D-4D45C9BBDE34}</x14:id>
        </ext>
      </extLst>
    </cfRule>
  </conditionalFormatting>
  <pageMargins left="0.70866141732283472" right="0.70866141732283472" top="0.74803149606299213" bottom="0.74803149606299213" header="0.31496062992125984" footer="0.31496062992125984"/>
  <pageSetup paperSize="9" scale="77" orientation="portrait" horizontalDpi="1200" verticalDpi="1200" r:id="rId1"/>
  <rowBreaks count="1" manualBreakCount="1">
    <brk id="54" max="6" man="1"/>
  </rowBreaks>
  <drawing r:id="rId2"/>
  <extLst>
    <ext xmlns:x14="http://schemas.microsoft.com/office/spreadsheetml/2009/9/main" uri="{78C0D931-6437-407d-A8EE-F0AAD7539E65}">
      <x14:conditionalFormattings>
        <x14:conditionalFormatting xmlns:xm="http://schemas.microsoft.com/office/excel/2006/main">
          <x14:cfRule type="dataBar" id="{AD637FA0-E332-41A2-AF11-9FB9DACDD862}">
            <x14:dataBar minLength="0" maxLength="100" gradient="0" direction="leftToRight">
              <x14:cfvo type="num">
                <xm:f>-100</xm:f>
              </x14:cfvo>
              <x14:cfvo type="num">
                <xm:f>200</xm:f>
              </x14:cfvo>
              <x14:negativeFillColor theme="5"/>
              <x14:axisColor theme="1"/>
            </x14:dataBar>
          </x14:cfRule>
          <xm:sqref>G14:G24</xm:sqref>
        </x14:conditionalFormatting>
        <x14:conditionalFormatting xmlns:xm="http://schemas.microsoft.com/office/excel/2006/main">
          <x14:cfRule type="dataBar" id="{CD286FA2-BBE7-4A59-9EA1-EBE9435E9775}">
            <x14:dataBar minLength="0" maxLength="100" gradient="0" direction="leftToRight">
              <x14:cfvo type="num">
                <xm:f>-100</xm:f>
              </x14:cfvo>
              <x14:cfvo type="num">
                <xm:f>200</xm:f>
              </x14:cfvo>
              <x14:negativeFillColor theme="5"/>
              <x14:axisColor theme="1"/>
            </x14:dataBar>
          </x14:cfRule>
          <xm:sqref>G31:G50</xm:sqref>
        </x14:conditionalFormatting>
        <x14:conditionalFormatting xmlns:xm="http://schemas.microsoft.com/office/excel/2006/main">
          <x14:cfRule type="dataBar" id="{9DD06A93-501C-44B1-B019-734372AF3021}">
            <x14:dataBar minLength="0" maxLength="100" gradient="0" direction="leftToRight">
              <x14:cfvo type="num">
                <xm:f>-100</xm:f>
              </x14:cfvo>
              <x14:cfvo type="num">
                <xm:f>200</xm:f>
              </x14:cfvo>
              <x14:negativeFillColor theme="7"/>
              <x14:axisColor theme="1"/>
            </x14:dataBar>
          </x14:cfRule>
          <xm:sqref>G51</xm:sqref>
        </x14:conditionalFormatting>
        <x14:conditionalFormatting xmlns:xm="http://schemas.microsoft.com/office/excel/2006/main">
          <x14:cfRule type="dataBar" id="{93482E6D-3560-49EC-A39A-777A798B4AA9}">
            <x14:dataBar minLength="0" maxLength="100" gradient="0" direction="leftToRight">
              <x14:cfvo type="num">
                <xm:f>-100</xm:f>
              </x14:cfvo>
              <x14:cfvo type="num">
                <xm:f>200</xm:f>
              </x14:cfvo>
              <x14:negativeFillColor theme="5"/>
              <x14:axisColor theme="1"/>
            </x14:dataBar>
          </x14:cfRule>
          <xm:sqref>G58:G72</xm:sqref>
        </x14:conditionalFormatting>
        <x14:conditionalFormatting xmlns:xm="http://schemas.microsoft.com/office/excel/2006/main">
          <x14:cfRule type="dataBar" id="{33D1344B-A218-4B62-AD5D-4D45C9BBDE34}">
            <x14:dataBar minLength="0" maxLength="100" gradient="0" direction="leftToRight">
              <x14:cfvo type="num">
                <xm:f>-100</xm:f>
              </x14:cfvo>
              <x14:cfvo type="num">
                <xm:f>200</xm:f>
              </x14:cfvo>
              <x14:negativeFillColor theme="7"/>
              <x14:axisColor theme="1"/>
            </x14:dataBar>
          </x14:cfRule>
          <xm:sqref>G73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534"/>
  <sheetViews>
    <sheetView showGridLines="0" zoomScaleNormal="100" workbookViewId="0"/>
  </sheetViews>
  <sheetFormatPr defaultColWidth="9.1796875" defaultRowHeight="13.5" x14ac:dyDescent="0.35"/>
  <cols>
    <col min="1" max="1" width="40.7265625" style="13" customWidth="1"/>
    <col min="2" max="3" width="17.7265625" style="5" customWidth="1"/>
    <col min="4" max="5" width="17.7265625" style="2" customWidth="1"/>
    <col min="6" max="6" width="14.7265625" style="2" customWidth="1"/>
    <col min="7" max="7" width="14.7265625" style="3" customWidth="1"/>
    <col min="8" max="16384" width="9.1796875" style="1"/>
  </cols>
  <sheetData>
    <row r="1" spans="1:7" x14ac:dyDescent="0.35">
      <c r="A1" s="22" t="s">
        <v>459</v>
      </c>
    </row>
    <row r="4" spans="1:7" ht="15" customHeight="1" x14ac:dyDescent="0.35">
      <c r="A4" s="282" t="s">
        <v>459</v>
      </c>
      <c r="B4" s="282"/>
      <c r="C4" s="282"/>
      <c r="D4" s="282"/>
      <c r="E4" s="282"/>
      <c r="F4" s="282"/>
      <c r="G4" s="282"/>
    </row>
    <row r="5" spans="1:7" ht="15" customHeight="1" x14ac:dyDescent="0.35">
      <c r="A5" s="282"/>
      <c r="B5" s="282"/>
      <c r="C5" s="282"/>
      <c r="D5" s="282"/>
      <c r="E5" s="282"/>
      <c r="F5" s="282"/>
      <c r="G5" s="282"/>
    </row>
    <row r="6" spans="1:7" s="2" customFormat="1" x14ac:dyDescent="0.35">
      <c r="A6" s="245" t="s">
        <v>867</v>
      </c>
      <c r="B6" s="246" t="s">
        <v>868</v>
      </c>
      <c r="C6" s="246"/>
      <c r="D6" s="241"/>
      <c r="E6" s="241"/>
      <c r="F6" s="241"/>
      <c r="G6" s="247"/>
    </row>
    <row r="7" spans="1:7" s="2" customFormat="1" x14ac:dyDescent="0.35">
      <c r="A7" s="245" t="s">
        <v>620</v>
      </c>
      <c r="B7" s="246" t="s">
        <v>890</v>
      </c>
      <c r="C7" s="246"/>
      <c r="D7" s="241"/>
      <c r="E7" s="241"/>
      <c r="F7" s="241"/>
      <c r="G7" s="247"/>
    </row>
    <row r="8" spans="1:7" s="2" customFormat="1" x14ac:dyDescent="0.35">
      <c r="A8" s="245" t="s">
        <v>621</v>
      </c>
      <c r="B8" s="246" t="s">
        <v>891</v>
      </c>
      <c r="C8" s="246"/>
      <c r="D8" s="241"/>
      <c r="E8" s="241"/>
      <c r="F8" s="241"/>
      <c r="G8" s="247"/>
    </row>
    <row r="10" spans="1:7" ht="15" customHeight="1" x14ac:dyDescent="0.35">
      <c r="A10" s="17" t="s">
        <v>224</v>
      </c>
      <c r="B10" s="112"/>
      <c r="C10" s="208"/>
      <c r="D10" s="112"/>
      <c r="E10" s="112"/>
      <c r="F10" s="112"/>
    </row>
    <row r="11" spans="1:7" s="138" customFormat="1" ht="40" customHeight="1" x14ac:dyDescent="0.35">
      <c r="A11" s="249" t="s">
        <v>136</v>
      </c>
      <c r="B11" s="227" t="s">
        <v>890</v>
      </c>
      <c r="C11" s="243" t="s">
        <v>890</v>
      </c>
      <c r="D11" s="227" t="s">
        <v>891</v>
      </c>
      <c r="E11" s="228" t="s">
        <v>891</v>
      </c>
      <c r="F11" s="235" t="s">
        <v>1</v>
      </c>
      <c r="G11" s="236" t="s">
        <v>1</v>
      </c>
    </row>
    <row r="12" spans="1:7" s="138" customFormat="1" ht="15" customHeight="1" x14ac:dyDescent="0.35">
      <c r="A12" s="239" t="s">
        <v>866</v>
      </c>
      <c r="B12" s="35" t="s">
        <v>73</v>
      </c>
      <c r="C12" s="36" t="s">
        <v>74</v>
      </c>
      <c r="D12" s="34" t="s">
        <v>73</v>
      </c>
      <c r="E12" s="36" t="s">
        <v>74</v>
      </c>
      <c r="F12" s="237" t="s">
        <v>864</v>
      </c>
      <c r="G12" s="238" t="s">
        <v>865</v>
      </c>
    </row>
    <row r="13" spans="1:7" x14ac:dyDescent="0.35">
      <c r="A13" s="66" t="s">
        <v>180</v>
      </c>
      <c r="B13" s="67">
        <v>188165</v>
      </c>
      <c r="C13" s="48">
        <v>1</v>
      </c>
      <c r="D13" s="50">
        <v>1029526</v>
      </c>
      <c r="E13" s="48">
        <v>1</v>
      </c>
      <c r="F13" s="232" t="s">
        <v>135</v>
      </c>
      <c r="G13" s="233" t="s">
        <v>135</v>
      </c>
    </row>
    <row r="14" spans="1:7" ht="15" customHeight="1" x14ac:dyDescent="0.35">
      <c r="A14" s="66" t="s">
        <v>527</v>
      </c>
      <c r="B14" s="67">
        <v>222598</v>
      </c>
      <c r="C14" s="48">
        <v>1</v>
      </c>
      <c r="D14" s="50">
        <v>1245807</v>
      </c>
      <c r="E14" s="48">
        <v>1</v>
      </c>
      <c r="F14" s="232" t="s">
        <v>135</v>
      </c>
      <c r="G14" s="233" t="s">
        <v>135</v>
      </c>
    </row>
    <row r="15" spans="1:7" x14ac:dyDescent="0.35">
      <c r="A15" s="68" t="s">
        <v>182</v>
      </c>
      <c r="B15" s="69">
        <v>89169</v>
      </c>
      <c r="C15" s="53">
        <v>1</v>
      </c>
      <c r="D15" s="52">
        <v>526855</v>
      </c>
      <c r="E15" s="53">
        <v>1</v>
      </c>
      <c r="F15" s="230" t="s">
        <v>135</v>
      </c>
      <c r="G15" s="231" t="s">
        <v>135</v>
      </c>
    </row>
    <row r="16" spans="1:7" ht="15" customHeight="1" x14ac:dyDescent="0.35">
      <c r="A16" s="11"/>
      <c r="B16" s="11"/>
      <c r="C16" s="209"/>
      <c r="D16" s="11"/>
      <c r="E16" s="11"/>
      <c r="F16" s="11"/>
    </row>
    <row r="17" spans="1:8" ht="15" customHeight="1" x14ac:dyDescent="0.35">
      <c r="A17" s="11"/>
      <c r="B17" s="11"/>
      <c r="C17" s="209"/>
      <c r="D17" s="11"/>
      <c r="E17" s="11"/>
      <c r="F17" s="11"/>
    </row>
    <row r="18" spans="1:8" ht="15" customHeight="1" x14ac:dyDescent="0.35">
      <c r="A18" s="17" t="s">
        <v>456</v>
      </c>
      <c r="B18" s="112"/>
      <c r="C18" s="208"/>
      <c r="D18" s="112"/>
      <c r="E18" s="112"/>
      <c r="F18" s="112"/>
    </row>
    <row r="19" spans="1:8" ht="15" customHeight="1" x14ac:dyDescent="0.35">
      <c r="A19" s="9" t="s">
        <v>96</v>
      </c>
      <c r="B19" s="9"/>
      <c r="C19" s="210"/>
      <c r="D19" s="9"/>
      <c r="E19" s="9"/>
      <c r="F19" s="9"/>
    </row>
    <row r="20" spans="1:8" ht="40" customHeight="1" x14ac:dyDescent="0.35">
      <c r="A20" s="249" t="s">
        <v>97</v>
      </c>
      <c r="B20" s="227" t="s">
        <v>890</v>
      </c>
      <c r="C20" s="243" t="s">
        <v>890</v>
      </c>
      <c r="D20" s="227" t="s">
        <v>891</v>
      </c>
      <c r="E20" s="228" t="s">
        <v>891</v>
      </c>
      <c r="F20" s="235" t="s">
        <v>1</v>
      </c>
      <c r="G20" s="236" t="s">
        <v>1</v>
      </c>
    </row>
    <row r="21" spans="1:8" x14ac:dyDescent="0.35">
      <c r="A21" s="239" t="s">
        <v>866</v>
      </c>
      <c r="B21" s="35" t="s">
        <v>73</v>
      </c>
      <c r="C21" s="36" t="s">
        <v>74</v>
      </c>
      <c r="D21" s="34" t="s">
        <v>73</v>
      </c>
      <c r="E21" s="36" t="s">
        <v>74</v>
      </c>
      <c r="F21" s="237" t="s">
        <v>864</v>
      </c>
      <c r="G21" s="238" t="s">
        <v>865</v>
      </c>
    </row>
    <row r="22" spans="1:8" ht="15" customHeight="1" x14ac:dyDescent="0.35">
      <c r="A22" s="70" t="s">
        <v>5</v>
      </c>
      <c r="B22" s="67">
        <v>10820</v>
      </c>
      <c r="C22" s="48">
        <v>4.8607804203092568E-2</v>
      </c>
      <c r="D22" s="50">
        <v>66330</v>
      </c>
      <c r="E22" s="48">
        <v>5.3242596967266999E-2</v>
      </c>
      <c r="F22" s="49">
        <v>91.294953612003837</v>
      </c>
      <c r="G22" s="45">
        <v>-8.7050463879961626</v>
      </c>
    </row>
    <row r="23" spans="1:8" x14ac:dyDescent="0.35">
      <c r="A23" s="70" t="s">
        <v>6</v>
      </c>
      <c r="B23" s="67">
        <v>11772</v>
      </c>
      <c r="C23" s="42">
        <v>5.2884572188429367E-2</v>
      </c>
      <c r="D23" s="50">
        <v>74318</v>
      </c>
      <c r="E23" s="42">
        <v>5.9654505071812892E-2</v>
      </c>
      <c r="F23" s="49">
        <v>88.651430641769991</v>
      </c>
      <c r="G23" s="45">
        <v>-11.348569358230009</v>
      </c>
    </row>
    <row r="24" spans="1:8" x14ac:dyDescent="0.35">
      <c r="A24" s="70" t="s">
        <v>7</v>
      </c>
      <c r="B24" s="67">
        <v>11841</v>
      </c>
      <c r="C24" s="42">
        <v>5.3194548019299362E-2</v>
      </c>
      <c r="D24" s="50">
        <v>75633</v>
      </c>
      <c r="E24" s="42">
        <v>6.0710045777556232E-2</v>
      </c>
      <c r="F24" s="49">
        <v>87.620668602698942</v>
      </c>
      <c r="G24" s="45">
        <v>-12.379331397301058</v>
      </c>
      <c r="H24" s="129"/>
    </row>
    <row r="25" spans="1:8" x14ac:dyDescent="0.35">
      <c r="A25" s="70" t="s">
        <v>183</v>
      </c>
      <c r="B25" s="67">
        <v>18299</v>
      </c>
      <c r="C25" s="42">
        <v>8.2206488827392885E-2</v>
      </c>
      <c r="D25" s="50">
        <v>73591</v>
      </c>
      <c r="E25" s="42">
        <v>5.9070947586584439E-2</v>
      </c>
      <c r="F25" s="49">
        <v>139.16568497042826</v>
      </c>
      <c r="G25" s="45">
        <v>39.165684970428259</v>
      </c>
      <c r="H25" s="129"/>
    </row>
    <row r="26" spans="1:8" x14ac:dyDescent="0.35">
      <c r="A26" s="72" t="s">
        <v>8</v>
      </c>
      <c r="B26" s="67">
        <v>30934</v>
      </c>
      <c r="C26" s="42">
        <v>0.13896800510337021</v>
      </c>
      <c r="D26" s="50">
        <v>84480</v>
      </c>
      <c r="E26" s="42">
        <v>6.781146678418086E-2</v>
      </c>
      <c r="F26" s="49">
        <v>204.93289954286732</v>
      </c>
      <c r="G26" s="45">
        <v>104.93289954286732</v>
      </c>
    </row>
    <row r="27" spans="1:8" x14ac:dyDescent="0.35">
      <c r="A27" s="72" t="s">
        <v>9</v>
      </c>
      <c r="B27" s="67">
        <v>21004</v>
      </c>
      <c r="C27" s="42">
        <v>9.4358439878166014E-2</v>
      </c>
      <c r="D27" s="50">
        <v>83830</v>
      </c>
      <c r="E27" s="42">
        <v>6.7289716625448401E-2</v>
      </c>
      <c r="F27" s="49">
        <v>140.2271321833453</v>
      </c>
      <c r="G27" s="45">
        <v>40.227132183345304</v>
      </c>
    </row>
    <row r="28" spans="1:8" x14ac:dyDescent="0.35">
      <c r="A28" s="72" t="s">
        <v>10</v>
      </c>
      <c r="B28" s="67">
        <v>17821</v>
      </c>
      <c r="C28" s="42">
        <v>8.0059120028032602E-2</v>
      </c>
      <c r="D28" s="50">
        <v>87626</v>
      </c>
      <c r="E28" s="42">
        <v>7.0336737552445919E-2</v>
      </c>
      <c r="F28" s="49">
        <v>113.82262358747772</v>
      </c>
      <c r="G28" s="45">
        <v>13.822623587477722</v>
      </c>
    </row>
    <row r="29" spans="1:8" x14ac:dyDescent="0.35">
      <c r="A29" s="72" t="s">
        <v>11</v>
      </c>
      <c r="B29" s="67">
        <v>15333</v>
      </c>
      <c r="C29" s="42">
        <v>6.8882020503328867E-2</v>
      </c>
      <c r="D29" s="50">
        <v>81716</v>
      </c>
      <c r="E29" s="42">
        <v>6.5592824570740088E-2</v>
      </c>
      <c r="F29" s="49">
        <v>105.01456669096704</v>
      </c>
      <c r="G29" s="45">
        <v>5.0145666909670439</v>
      </c>
    </row>
    <row r="30" spans="1:8" x14ac:dyDescent="0.35">
      <c r="A30" s="72" t="s">
        <v>12</v>
      </c>
      <c r="B30" s="67">
        <v>13182</v>
      </c>
      <c r="C30" s="42">
        <v>5.92188609062076E-2</v>
      </c>
      <c r="D30" s="50">
        <v>75290</v>
      </c>
      <c r="E30" s="42">
        <v>6.0434722232255877E-2</v>
      </c>
      <c r="F30" s="49">
        <v>97.988141119643743</v>
      </c>
      <c r="G30" s="45">
        <v>-2.0118588803562574</v>
      </c>
    </row>
    <row r="31" spans="1:8" x14ac:dyDescent="0.35">
      <c r="A31" s="72" t="s">
        <v>13</v>
      </c>
      <c r="B31" s="67">
        <v>11637</v>
      </c>
      <c r="C31" s="42">
        <v>5.2278097736727196E-2</v>
      </c>
      <c r="D31" s="50">
        <v>74922</v>
      </c>
      <c r="E31" s="42">
        <v>6.013933137315812E-2</v>
      </c>
      <c r="F31" s="63">
        <v>86.928298906995138</v>
      </c>
      <c r="G31" s="91">
        <v>-13.071701093004862</v>
      </c>
    </row>
    <row r="32" spans="1:8" x14ac:dyDescent="0.35">
      <c r="A32" s="72" t="s">
        <v>14</v>
      </c>
      <c r="B32" s="67">
        <v>11663</v>
      </c>
      <c r="C32" s="42">
        <v>5.2394900223721688E-2</v>
      </c>
      <c r="D32" s="50">
        <v>83437</v>
      </c>
      <c r="E32" s="42">
        <v>6.697425845255324E-2</v>
      </c>
      <c r="F32" s="49">
        <v>78.231400293651561</v>
      </c>
      <c r="G32" s="45">
        <v>-21.768599706348439</v>
      </c>
    </row>
    <row r="33" spans="1:7" x14ac:dyDescent="0.35">
      <c r="A33" s="72" t="s">
        <v>15</v>
      </c>
      <c r="B33" s="67">
        <v>11103</v>
      </c>
      <c r="C33" s="42">
        <v>4.9879154349994161E-2</v>
      </c>
      <c r="D33" s="50">
        <v>83800</v>
      </c>
      <c r="E33" s="42">
        <v>6.7265635848891517E-2</v>
      </c>
      <c r="F33" s="49">
        <v>74.152505540934584</v>
      </c>
      <c r="G33" s="45">
        <v>-25.847494459065416</v>
      </c>
    </row>
    <row r="34" spans="1:7" x14ac:dyDescent="0.35">
      <c r="A34" s="72" t="s">
        <v>16</v>
      </c>
      <c r="B34" s="67">
        <v>9542</v>
      </c>
      <c r="C34" s="42">
        <v>4.2866512726978681E-2</v>
      </c>
      <c r="D34" s="50">
        <v>72851</v>
      </c>
      <c r="E34" s="42">
        <v>5.8476955098181342E-2</v>
      </c>
      <c r="F34" s="49">
        <v>73.304967153311722</v>
      </c>
      <c r="G34" s="45">
        <v>-26.695032846688278</v>
      </c>
    </row>
    <row r="35" spans="1:7" x14ac:dyDescent="0.35">
      <c r="A35" s="72" t="s">
        <v>17</v>
      </c>
      <c r="B35" s="67">
        <v>7680</v>
      </c>
      <c r="C35" s="42">
        <v>3.4501657696834651E-2</v>
      </c>
      <c r="D35" s="50">
        <v>62616</v>
      </c>
      <c r="E35" s="42">
        <v>5.0261396829524956E-2</v>
      </c>
      <c r="F35" s="49">
        <v>68.644446579660936</v>
      </c>
      <c r="G35" s="45">
        <v>-31.355553420339064</v>
      </c>
    </row>
    <row r="36" spans="1:7" x14ac:dyDescent="0.35">
      <c r="A36" s="72" t="s">
        <v>18</v>
      </c>
      <c r="B36" s="67">
        <v>7264</v>
      </c>
      <c r="C36" s="42">
        <v>3.2632817904922777E-2</v>
      </c>
      <c r="D36" s="50">
        <v>62273</v>
      </c>
      <c r="E36" s="42">
        <v>4.9986073284224601E-2</v>
      </c>
      <c r="F36" s="49">
        <v>65.283819593849884</v>
      </c>
      <c r="G36" s="45">
        <v>-34.716180406150116</v>
      </c>
    </row>
    <row r="37" spans="1:7" x14ac:dyDescent="0.35">
      <c r="A37" s="72" t="s">
        <v>19</v>
      </c>
      <c r="B37" s="67">
        <v>5036</v>
      </c>
      <c r="C37" s="42">
        <v>2.2623743250163971E-2</v>
      </c>
      <c r="D37" s="50">
        <v>44503</v>
      </c>
      <c r="E37" s="42">
        <v>3.5722226637031257E-2</v>
      </c>
      <c r="F37" s="49">
        <v>63.332399405112071</v>
      </c>
      <c r="G37" s="45">
        <v>-36.667600594887929</v>
      </c>
    </row>
    <row r="38" spans="1:7" x14ac:dyDescent="0.35">
      <c r="A38" s="72" t="s">
        <v>20</v>
      </c>
      <c r="B38" s="67">
        <v>3858</v>
      </c>
      <c r="C38" s="42">
        <v>1.7331692108644284E-2</v>
      </c>
      <c r="D38" s="50">
        <v>30583</v>
      </c>
      <c r="E38" s="42">
        <v>2.4548746314637823E-2</v>
      </c>
      <c r="F38" s="49">
        <v>70.601129224712452</v>
      </c>
      <c r="G38" s="45">
        <v>-29.398870775287548</v>
      </c>
    </row>
    <row r="39" spans="1:7" x14ac:dyDescent="0.35">
      <c r="A39" s="73" t="s">
        <v>137</v>
      </c>
      <c r="B39" s="69">
        <v>3809</v>
      </c>
      <c r="C39" s="53">
        <v>1.7111564344693124E-2</v>
      </c>
      <c r="D39" s="55">
        <v>28008</v>
      </c>
      <c r="E39" s="53">
        <v>2.2481812993505414E-2</v>
      </c>
      <c r="F39" s="49">
        <v>76.112920028452962</v>
      </c>
      <c r="G39" s="45">
        <v>-23.887079971547038</v>
      </c>
    </row>
    <row r="40" spans="1:7" x14ac:dyDescent="0.35">
      <c r="A40" s="62" t="s">
        <v>2</v>
      </c>
      <c r="B40" s="226">
        <v>222598</v>
      </c>
      <c r="C40" s="225"/>
      <c r="D40" s="224">
        <v>1245807</v>
      </c>
      <c r="E40" s="225"/>
      <c r="F40" s="58"/>
      <c r="G40" s="46"/>
    </row>
    <row r="41" spans="1:7" x14ac:dyDescent="0.35">
      <c r="A41" s="11"/>
      <c r="B41" s="11"/>
      <c r="C41" s="209"/>
      <c r="D41" s="11"/>
      <c r="E41" s="11"/>
      <c r="F41" s="11"/>
    </row>
    <row r="42" spans="1:7" ht="15" customHeight="1" x14ac:dyDescent="0.35">
      <c r="A42" s="283" t="s">
        <v>138</v>
      </c>
      <c r="B42" s="283"/>
      <c r="C42" s="283"/>
      <c r="D42" s="283"/>
      <c r="E42" s="283"/>
      <c r="F42" s="283"/>
    </row>
    <row r="43" spans="1:7" ht="40" customHeight="1" x14ac:dyDescent="0.35">
      <c r="A43" s="249" t="s">
        <v>139</v>
      </c>
      <c r="B43" s="227" t="s">
        <v>890</v>
      </c>
      <c r="C43" s="243" t="s">
        <v>890</v>
      </c>
      <c r="D43" s="227" t="s">
        <v>891</v>
      </c>
      <c r="E43" s="228" t="s">
        <v>891</v>
      </c>
      <c r="F43" s="235" t="s">
        <v>1</v>
      </c>
      <c r="G43" s="236" t="s">
        <v>1</v>
      </c>
    </row>
    <row r="44" spans="1:7" ht="15" customHeight="1" x14ac:dyDescent="0.35">
      <c r="A44" s="239" t="s">
        <v>866</v>
      </c>
      <c r="B44" s="35" t="s">
        <v>73</v>
      </c>
      <c r="C44" s="36" t="s">
        <v>74</v>
      </c>
      <c r="D44" s="34" t="s">
        <v>73</v>
      </c>
      <c r="E44" s="36" t="s">
        <v>74</v>
      </c>
      <c r="F44" s="237" t="s">
        <v>864</v>
      </c>
      <c r="G44" s="238" t="s">
        <v>865</v>
      </c>
    </row>
    <row r="45" spans="1:7" ht="15" customHeight="1" x14ac:dyDescent="0.35">
      <c r="A45" s="72" t="s">
        <v>184</v>
      </c>
      <c r="B45" s="67">
        <v>27013</v>
      </c>
      <c r="C45" s="48">
        <v>0.12130370157484205</v>
      </c>
      <c r="D45" s="50">
        <v>58439</v>
      </c>
      <c r="E45" s="48">
        <v>4.6903730932994096E-2</v>
      </c>
      <c r="F45" s="49">
        <v>258.62271329360669</v>
      </c>
      <c r="G45" s="45">
        <v>158.62271329360669</v>
      </c>
    </row>
    <row r="46" spans="1:7" ht="27" x14ac:dyDescent="0.35">
      <c r="A46" s="72" t="s">
        <v>185</v>
      </c>
      <c r="B46" s="67">
        <v>10392</v>
      </c>
      <c r="C46" s="42">
        <v>4.6665978112973697E-2</v>
      </c>
      <c r="D46" s="50">
        <v>20055</v>
      </c>
      <c r="E46" s="42">
        <v>1.6096345314964264E-2</v>
      </c>
      <c r="F46" s="49">
        <v>289.91660653297373</v>
      </c>
      <c r="G46" s="45">
        <v>189.91660653297373</v>
      </c>
    </row>
    <row r="47" spans="1:7" ht="15" customHeight="1" x14ac:dyDescent="0.35">
      <c r="A47" s="72" t="s">
        <v>186</v>
      </c>
      <c r="B47" s="67">
        <v>9393</v>
      </c>
      <c r="C47" s="42">
        <v>4.2179901117702263E-2</v>
      </c>
      <c r="D47" s="50">
        <v>28684</v>
      </c>
      <c r="E47" s="42">
        <v>2.3022067764369731E-2</v>
      </c>
      <c r="F47" s="49">
        <v>183.21508541027879</v>
      </c>
      <c r="G47" s="45">
        <v>83.215085410278789</v>
      </c>
    </row>
    <row r="48" spans="1:7" ht="15" customHeight="1" x14ac:dyDescent="0.35">
      <c r="A48" s="72" t="s">
        <v>33</v>
      </c>
      <c r="B48" s="67">
        <v>166914</v>
      </c>
      <c r="C48" s="42">
        <v>0.74953859418291879</v>
      </c>
      <c r="D48" s="50">
        <v>1121556</v>
      </c>
      <c r="E48" s="42">
        <v>0.90017215986387733</v>
      </c>
      <c r="F48" s="49">
        <v>83.266138145870102</v>
      </c>
      <c r="G48" s="45">
        <v>-16.733861854129898</v>
      </c>
    </row>
    <row r="49" spans="1:7" ht="15" customHeight="1" x14ac:dyDescent="0.35">
      <c r="A49" s="73" t="s">
        <v>187</v>
      </c>
      <c r="B49" s="69">
        <v>8977</v>
      </c>
      <c r="C49" s="53">
        <v>4.0311825011563211E-2</v>
      </c>
      <c r="D49" s="55">
        <v>17201</v>
      </c>
      <c r="E49" s="53">
        <v>1.380569612379458E-2</v>
      </c>
      <c r="F49" s="49">
        <v>291.99414973421318</v>
      </c>
      <c r="G49" s="45">
        <v>191.99414973421318</v>
      </c>
    </row>
    <row r="50" spans="1:7" x14ac:dyDescent="0.35">
      <c r="A50" s="62" t="s">
        <v>2</v>
      </c>
      <c r="B50" s="226">
        <v>222689</v>
      </c>
      <c r="C50" s="225"/>
      <c r="D50" s="224">
        <v>1245935</v>
      </c>
      <c r="E50" s="225"/>
      <c r="F50" s="58"/>
      <c r="G50" s="46"/>
    </row>
    <row r="51" spans="1:7" ht="15" customHeight="1" x14ac:dyDescent="0.35">
      <c r="A51" s="11"/>
      <c r="B51" s="11"/>
      <c r="C51" s="209"/>
      <c r="D51" s="11"/>
      <c r="E51" s="11"/>
      <c r="F51" s="11"/>
      <c r="G51" s="56"/>
    </row>
    <row r="52" spans="1:7" ht="40" customHeight="1" x14ac:dyDescent="0.35">
      <c r="A52" s="249" t="s">
        <v>225</v>
      </c>
      <c r="B52" s="227" t="s">
        <v>890</v>
      </c>
      <c r="C52" s="243" t="s">
        <v>890</v>
      </c>
      <c r="D52" s="227" t="s">
        <v>891</v>
      </c>
      <c r="E52" s="228" t="s">
        <v>891</v>
      </c>
      <c r="F52" s="235" t="s">
        <v>1</v>
      </c>
      <c r="G52" s="236" t="s">
        <v>1</v>
      </c>
    </row>
    <row r="53" spans="1:7" ht="15" customHeight="1" x14ac:dyDescent="0.35">
      <c r="A53" s="239" t="s">
        <v>866</v>
      </c>
      <c r="B53" s="35" t="s">
        <v>73</v>
      </c>
      <c r="C53" s="36" t="s">
        <v>74</v>
      </c>
      <c r="D53" s="34" t="s">
        <v>73</v>
      </c>
      <c r="E53" s="36" t="s">
        <v>74</v>
      </c>
      <c r="F53" s="237" t="s">
        <v>864</v>
      </c>
      <c r="G53" s="238" t="s">
        <v>865</v>
      </c>
    </row>
    <row r="54" spans="1:7" ht="15" customHeight="1" x14ac:dyDescent="0.35">
      <c r="A54" s="72" t="s">
        <v>188</v>
      </c>
      <c r="B54" s="67">
        <v>5565</v>
      </c>
      <c r="C54" s="48">
        <v>2.4990008487172692E-2</v>
      </c>
      <c r="D54" s="50">
        <v>10717</v>
      </c>
      <c r="E54" s="48">
        <v>8.601572313162404E-3</v>
      </c>
      <c r="F54" s="49">
        <v>290.52837757269299</v>
      </c>
      <c r="G54" s="45">
        <v>190.52837757269299</v>
      </c>
    </row>
    <row r="55" spans="1:7" ht="15" customHeight="1" x14ac:dyDescent="0.35">
      <c r="A55" s="72" t="s">
        <v>189</v>
      </c>
      <c r="B55" s="67">
        <v>3810</v>
      </c>
      <c r="C55" s="42">
        <v>1.7109062414398555E-2</v>
      </c>
      <c r="D55" s="50">
        <v>8167</v>
      </c>
      <c r="E55" s="42">
        <v>6.5549165887466036E-3</v>
      </c>
      <c r="F55" s="49">
        <v>261.01113847537243</v>
      </c>
      <c r="G55" s="45">
        <v>161.01113847537243</v>
      </c>
    </row>
    <row r="56" spans="1:7" ht="15" customHeight="1" x14ac:dyDescent="0.35">
      <c r="A56" s="72" t="s">
        <v>190</v>
      </c>
      <c r="B56" s="67">
        <v>6530</v>
      </c>
      <c r="C56" s="42">
        <v>2.9323406185307762E-2</v>
      </c>
      <c r="D56" s="50">
        <v>14101</v>
      </c>
      <c r="E56" s="42">
        <v>1.1317604850975372E-2</v>
      </c>
      <c r="F56" s="49">
        <v>259.0955115629489</v>
      </c>
      <c r="G56" s="45">
        <v>159.0955115629489</v>
      </c>
    </row>
    <row r="57" spans="1:7" ht="15" customHeight="1" x14ac:dyDescent="0.35">
      <c r="A57" s="72" t="s">
        <v>191</v>
      </c>
      <c r="B57" s="67">
        <v>6794</v>
      </c>
      <c r="C57" s="42">
        <v>3.0508916021896006E-2</v>
      </c>
      <c r="D57" s="50">
        <v>14554</v>
      </c>
      <c r="E57" s="42">
        <v>1.1681187220842179E-2</v>
      </c>
      <c r="F57" s="49">
        <v>261.17992499478493</v>
      </c>
      <c r="G57" s="45">
        <v>161.17992499478493</v>
      </c>
    </row>
    <row r="58" spans="1:7" ht="15" customHeight="1" x14ac:dyDescent="0.35">
      <c r="A58" s="72" t="s">
        <v>192</v>
      </c>
      <c r="B58" s="67">
        <v>4314</v>
      </c>
      <c r="C58" s="42">
        <v>1.9372308466067027E-2</v>
      </c>
      <c r="D58" s="50">
        <v>10900</v>
      </c>
      <c r="E58" s="42">
        <v>8.7484499592675388E-3</v>
      </c>
      <c r="F58" s="49">
        <v>221.43703806118552</v>
      </c>
      <c r="G58" s="45">
        <v>121.43703806118552</v>
      </c>
    </row>
    <row r="59" spans="1:7" ht="15" customHeight="1" x14ac:dyDescent="0.35">
      <c r="A59" s="72" t="s">
        <v>193</v>
      </c>
      <c r="B59" s="67">
        <v>8033</v>
      </c>
      <c r="C59" s="42">
        <v>3.6072729232247663E-2</v>
      </c>
      <c r="D59" s="50">
        <v>14743</v>
      </c>
      <c r="E59" s="42">
        <v>1.183288052747535E-2</v>
      </c>
      <c r="F59" s="49">
        <v>304.85163057709076</v>
      </c>
      <c r="G59" s="45">
        <v>204.85163057709076</v>
      </c>
    </row>
    <row r="60" spans="1:7" ht="15" customHeight="1" x14ac:dyDescent="0.35">
      <c r="A60" s="72" t="s">
        <v>194</v>
      </c>
      <c r="B60" s="67">
        <v>1015</v>
      </c>
      <c r="C60" s="42">
        <v>4.5579260762767804E-3</v>
      </c>
      <c r="D60" s="50">
        <v>2496</v>
      </c>
      <c r="E60" s="42">
        <v>2.0033147796634657E-3</v>
      </c>
      <c r="F60" s="49">
        <v>227.51921577908294</v>
      </c>
      <c r="G60" s="45">
        <v>127.51921577908294</v>
      </c>
    </row>
    <row r="61" spans="1:7" ht="15" customHeight="1" x14ac:dyDescent="0.35">
      <c r="A61" s="72" t="s">
        <v>195</v>
      </c>
      <c r="B61" s="67">
        <v>1344</v>
      </c>
      <c r="C61" s="42">
        <v>6.0353228044492547E-3</v>
      </c>
      <c r="D61" s="50">
        <v>2816</v>
      </c>
      <c r="E61" s="42">
        <v>2.2601500078254485E-3</v>
      </c>
      <c r="F61" s="49">
        <v>267.03195732817761</v>
      </c>
      <c r="G61" s="45">
        <v>167.03195732817761</v>
      </c>
    </row>
    <row r="62" spans="1:7" ht="15" customHeight="1" x14ac:dyDescent="0.35">
      <c r="A62" s="72" t="s">
        <v>520</v>
      </c>
      <c r="B62" s="67">
        <v>2419</v>
      </c>
      <c r="C62" s="42">
        <v>1.086268293449609E-2</v>
      </c>
      <c r="D62" s="50">
        <v>7468</v>
      </c>
      <c r="E62" s="42">
        <v>5.9938921372302729E-3</v>
      </c>
      <c r="F62" s="49">
        <v>181.22920275832064</v>
      </c>
      <c r="G62" s="45">
        <v>81.229202758320639</v>
      </c>
    </row>
    <row r="63" spans="1:7" ht="15" customHeight="1" x14ac:dyDescent="0.35">
      <c r="A63" s="72" t="s">
        <v>196</v>
      </c>
      <c r="B63" s="67">
        <v>1683</v>
      </c>
      <c r="C63" s="42">
        <v>7.5576252082500709E-3</v>
      </c>
      <c r="D63" s="50">
        <v>4838</v>
      </c>
      <c r="E63" s="42">
        <v>3.8830276057739768E-3</v>
      </c>
      <c r="F63" s="63">
        <v>194.63228118728921</v>
      </c>
      <c r="G63" s="91">
        <v>94.632281187289209</v>
      </c>
    </row>
    <row r="64" spans="1:7" ht="15" customHeight="1" x14ac:dyDescent="0.35">
      <c r="A64" s="72" t="s">
        <v>197</v>
      </c>
      <c r="B64" s="67">
        <v>2554</v>
      </c>
      <c r="C64" s="42">
        <v>1.1468909555478716E-2</v>
      </c>
      <c r="D64" s="50">
        <v>8797</v>
      </c>
      <c r="E64" s="42">
        <v>7.0605609441905075E-3</v>
      </c>
      <c r="F64" s="49">
        <v>162.4362376606272</v>
      </c>
      <c r="G64" s="45">
        <v>62.436237660627199</v>
      </c>
    </row>
    <row r="65" spans="1:7" ht="15" customHeight="1" x14ac:dyDescent="0.35">
      <c r="A65" s="72" t="s">
        <v>198</v>
      </c>
      <c r="B65" s="67">
        <v>2737</v>
      </c>
      <c r="C65" s="42">
        <v>1.2290683419477387E-2</v>
      </c>
      <c r="D65" s="50">
        <v>7581</v>
      </c>
      <c r="E65" s="42">
        <v>6.0845870771749728E-3</v>
      </c>
      <c r="F65" s="49">
        <v>201.99700100575856</v>
      </c>
      <c r="G65" s="45">
        <v>101.99700100575856</v>
      </c>
    </row>
    <row r="66" spans="1:7" ht="27" x14ac:dyDescent="0.35">
      <c r="A66" s="72" t="s">
        <v>528</v>
      </c>
      <c r="B66" s="67">
        <v>151315</v>
      </c>
      <c r="C66" s="42">
        <v>0.67949023077026705</v>
      </c>
      <c r="D66" s="50">
        <v>1078396</v>
      </c>
      <c r="E66" s="42">
        <v>0.86553150846552995</v>
      </c>
      <c r="F66" s="49">
        <v>78.505545335364062</v>
      </c>
      <c r="G66" s="45">
        <v>-21.494454664635938</v>
      </c>
    </row>
    <row r="67" spans="1:7" ht="15" customHeight="1" x14ac:dyDescent="0.35">
      <c r="A67" s="72" t="s">
        <v>199</v>
      </c>
      <c r="B67" s="67">
        <v>1661</v>
      </c>
      <c r="C67" s="42">
        <v>7.458832721867717E-3</v>
      </c>
      <c r="D67" s="50">
        <v>5309</v>
      </c>
      <c r="E67" s="42">
        <v>4.2610569572248957E-3</v>
      </c>
      <c r="F67" s="49">
        <v>175.04653884573841</v>
      </c>
      <c r="G67" s="45">
        <v>75.046538845738411</v>
      </c>
    </row>
    <row r="68" spans="1:7" ht="15" customHeight="1" x14ac:dyDescent="0.35">
      <c r="A68" s="72" t="s">
        <v>200</v>
      </c>
      <c r="B68" s="67">
        <v>596</v>
      </c>
      <c r="C68" s="42">
        <v>2.676378267449223E-3</v>
      </c>
      <c r="D68" s="50">
        <v>1330</v>
      </c>
      <c r="E68" s="42">
        <v>1.067471417048241E-3</v>
      </c>
      <c r="F68" s="49">
        <v>250.72130501160507</v>
      </c>
      <c r="G68" s="45">
        <v>150.72130501160507</v>
      </c>
    </row>
    <row r="69" spans="1:7" ht="15" customHeight="1" x14ac:dyDescent="0.35">
      <c r="A69" s="72" t="s">
        <v>201</v>
      </c>
      <c r="B69" s="67">
        <v>524</v>
      </c>
      <c r="C69" s="42">
        <v>2.3530574029251559E-3</v>
      </c>
      <c r="D69" s="50">
        <v>1205</v>
      </c>
      <c r="E69" s="42">
        <v>9.6714515604746638E-4</v>
      </c>
      <c r="F69" s="49">
        <v>243.2993008558966</v>
      </c>
      <c r="G69" s="45">
        <v>143.2993008558966</v>
      </c>
    </row>
    <row r="70" spans="1:7" ht="15" customHeight="1" x14ac:dyDescent="0.35">
      <c r="A70" s="72" t="s">
        <v>202</v>
      </c>
      <c r="B70" s="67">
        <v>12818</v>
      </c>
      <c r="C70" s="42">
        <v>5.7560095020409631E-2</v>
      </c>
      <c r="D70" s="50">
        <v>35316</v>
      </c>
      <c r="E70" s="42">
        <v>2.8344977868026824E-2</v>
      </c>
      <c r="F70" s="49">
        <v>203.06981818228019</v>
      </c>
      <c r="G70" s="45">
        <v>103.06981818228019</v>
      </c>
    </row>
    <row r="71" spans="1:7" ht="15" customHeight="1" x14ac:dyDescent="0.35">
      <c r="A71" s="72" t="s">
        <v>203</v>
      </c>
      <c r="B71" s="67">
        <v>5004</v>
      </c>
      <c r="C71" s="42">
        <v>2.2470800084422669E-2</v>
      </c>
      <c r="D71" s="50">
        <v>8262</v>
      </c>
      <c r="E71" s="42">
        <v>6.6311645471071922E-3</v>
      </c>
      <c r="F71" s="49">
        <v>338.86657350744565</v>
      </c>
      <c r="G71" s="45">
        <v>238.86657350744565</v>
      </c>
    </row>
    <row r="72" spans="1:7" ht="15" customHeight="1" x14ac:dyDescent="0.35">
      <c r="A72" s="72" t="s">
        <v>204</v>
      </c>
      <c r="B72" s="67">
        <v>3973</v>
      </c>
      <c r="C72" s="42">
        <v>1.7841024927140542E-2</v>
      </c>
      <c r="D72" s="50">
        <v>8939</v>
      </c>
      <c r="E72" s="42">
        <v>7.1745315766873876E-3</v>
      </c>
      <c r="F72" s="49">
        <v>248.67163432818938</v>
      </c>
      <c r="G72" s="45">
        <v>148.67163432818938</v>
      </c>
    </row>
    <row r="73" spans="1:7" ht="15" customHeight="1" x14ac:dyDescent="0.35">
      <c r="A73" s="62" t="s">
        <v>2</v>
      </c>
      <c r="B73" s="226">
        <v>222689</v>
      </c>
      <c r="C73" s="225"/>
      <c r="D73" s="224">
        <v>1245935</v>
      </c>
      <c r="E73" s="225"/>
      <c r="F73" s="58"/>
      <c r="G73" s="46"/>
    </row>
    <row r="74" spans="1:7" ht="15" customHeight="1" x14ac:dyDescent="0.35">
      <c r="A74" s="11"/>
      <c r="B74" s="11"/>
      <c r="C74" s="209"/>
      <c r="D74" s="11"/>
      <c r="E74" s="11"/>
      <c r="F74" s="11"/>
      <c r="G74" s="56"/>
    </row>
    <row r="75" spans="1:7" ht="15" customHeight="1" x14ac:dyDescent="0.35">
      <c r="A75" s="11" t="s">
        <v>460</v>
      </c>
      <c r="B75" s="11"/>
      <c r="C75" s="209"/>
      <c r="D75" s="11"/>
      <c r="E75" s="11"/>
      <c r="F75" s="11"/>
      <c r="G75" s="56"/>
    </row>
    <row r="76" spans="1:7" ht="40" customHeight="1" x14ac:dyDescent="0.35">
      <c r="A76" s="249" t="s">
        <v>100</v>
      </c>
      <c r="B76" s="227" t="s">
        <v>890</v>
      </c>
      <c r="C76" s="243" t="s">
        <v>890</v>
      </c>
      <c r="D76" s="227" t="s">
        <v>891</v>
      </c>
      <c r="E76" s="228" t="s">
        <v>891</v>
      </c>
      <c r="F76" s="235" t="s">
        <v>1</v>
      </c>
      <c r="G76" s="236" t="s">
        <v>1</v>
      </c>
    </row>
    <row r="77" spans="1:7" ht="15" customHeight="1" x14ac:dyDescent="0.35">
      <c r="A77" s="239" t="s">
        <v>866</v>
      </c>
      <c r="B77" s="35" t="s">
        <v>73</v>
      </c>
      <c r="C77" s="36" t="s">
        <v>74</v>
      </c>
      <c r="D77" s="34" t="s">
        <v>73</v>
      </c>
      <c r="E77" s="36" t="s">
        <v>74</v>
      </c>
      <c r="F77" s="237" t="s">
        <v>864</v>
      </c>
      <c r="G77" s="238" t="s">
        <v>865</v>
      </c>
    </row>
    <row r="78" spans="1:7" x14ac:dyDescent="0.35">
      <c r="A78" s="70" t="s">
        <v>34</v>
      </c>
      <c r="B78" s="67">
        <v>17466</v>
      </c>
      <c r="C78" s="48">
        <v>7.8456210330561812E-2</v>
      </c>
      <c r="D78" s="50">
        <v>122907</v>
      </c>
      <c r="E78" s="48">
        <v>9.8661285156616874E-2</v>
      </c>
      <c r="F78" s="49">
        <v>79.520766637104785</v>
      </c>
      <c r="G78" s="45">
        <v>-20.479233362895215</v>
      </c>
    </row>
    <row r="79" spans="1:7" x14ac:dyDescent="0.35">
      <c r="A79" s="70" t="s">
        <v>35</v>
      </c>
      <c r="B79" s="67">
        <v>23017</v>
      </c>
      <c r="C79" s="42">
        <v>0.10339096491346279</v>
      </c>
      <c r="D79" s="50">
        <v>136475</v>
      </c>
      <c r="E79" s="42">
        <v>0.10955274225023219</v>
      </c>
      <c r="F79" s="49">
        <v>94.375515199158471</v>
      </c>
      <c r="G79" s="45">
        <v>-5.6244848008415289</v>
      </c>
    </row>
    <row r="80" spans="1:7" ht="40.5" x14ac:dyDescent="0.35">
      <c r="A80" s="78" t="s">
        <v>205</v>
      </c>
      <c r="B80" s="79">
        <v>15382</v>
      </c>
      <c r="C80" s="42">
        <v>6.9095009006338123E-2</v>
      </c>
      <c r="D80" s="50">
        <v>85219</v>
      </c>
      <c r="E80" s="42">
        <v>6.8407951213207821E-2</v>
      </c>
      <c r="F80" s="49">
        <v>101.00435370588565</v>
      </c>
      <c r="G80" s="45">
        <v>1.0043537058856487</v>
      </c>
    </row>
    <row r="81" spans="1:7" ht="27" x14ac:dyDescent="0.35">
      <c r="A81" s="71" t="s">
        <v>206</v>
      </c>
      <c r="B81" s="69">
        <v>166756</v>
      </c>
      <c r="C81" s="53">
        <v>0.74905781574963726</v>
      </c>
      <c r="D81" s="55">
        <v>901146</v>
      </c>
      <c r="E81" s="53">
        <v>0.72337802137994311</v>
      </c>
      <c r="F81" s="49">
        <v>103.54998266614548</v>
      </c>
      <c r="G81" s="45">
        <v>3.5499826661454819</v>
      </c>
    </row>
    <row r="82" spans="1:7" x14ac:dyDescent="0.35">
      <c r="A82" s="62" t="s">
        <v>2</v>
      </c>
      <c r="B82" s="226">
        <v>222621</v>
      </c>
      <c r="C82" s="225"/>
      <c r="D82" s="224">
        <v>1245747</v>
      </c>
      <c r="E82" s="225"/>
      <c r="F82" s="58"/>
      <c r="G82" s="46"/>
    </row>
    <row r="83" spans="1:7" x14ac:dyDescent="0.35">
      <c r="A83" s="14"/>
      <c r="B83" s="2"/>
      <c r="C83" s="211"/>
    </row>
    <row r="84" spans="1:7" x14ac:dyDescent="0.35">
      <c r="A84" s="126" t="s">
        <v>461</v>
      </c>
    </row>
    <row r="85" spans="1:7" ht="40" customHeight="1" x14ac:dyDescent="0.35">
      <c r="A85" s="249" t="s">
        <v>454</v>
      </c>
      <c r="B85" s="227" t="s">
        <v>890</v>
      </c>
      <c r="C85" s="243" t="s">
        <v>890</v>
      </c>
      <c r="D85" s="227" t="s">
        <v>891</v>
      </c>
      <c r="E85" s="228" t="s">
        <v>891</v>
      </c>
      <c r="F85" s="235" t="s">
        <v>1</v>
      </c>
      <c r="G85" s="236" t="s">
        <v>1</v>
      </c>
    </row>
    <row r="86" spans="1:7" x14ac:dyDescent="0.35">
      <c r="A86" s="239" t="s">
        <v>866</v>
      </c>
      <c r="B86" s="35" t="s">
        <v>73</v>
      </c>
      <c r="C86" s="36" t="s">
        <v>74</v>
      </c>
      <c r="D86" s="34" t="s">
        <v>73</v>
      </c>
      <c r="E86" s="36" t="s">
        <v>74</v>
      </c>
      <c r="F86" s="237" t="s">
        <v>864</v>
      </c>
      <c r="G86" s="238" t="s">
        <v>865</v>
      </c>
    </row>
    <row r="87" spans="1:7" x14ac:dyDescent="0.35">
      <c r="A87" s="70" t="s">
        <v>4</v>
      </c>
      <c r="B87" s="67">
        <v>112535</v>
      </c>
      <c r="C87" s="48">
        <v>0.50539368027736364</v>
      </c>
      <c r="D87" s="50">
        <v>636610</v>
      </c>
      <c r="E87" s="48">
        <v>0.51097626558148124</v>
      </c>
      <c r="F87" s="49">
        <v>98.907466808117846</v>
      </c>
      <c r="G87" s="45">
        <v>-1.0925331918821541</v>
      </c>
    </row>
    <row r="88" spans="1:7" x14ac:dyDescent="0.35">
      <c r="A88" s="71" t="s">
        <v>3</v>
      </c>
      <c r="B88" s="69">
        <v>110133</v>
      </c>
      <c r="C88" s="53">
        <v>0.49460631972263641</v>
      </c>
      <c r="D88" s="55">
        <v>609260</v>
      </c>
      <c r="E88" s="53">
        <v>0.48902373441851876</v>
      </c>
      <c r="F88" s="49">
        <v>101.14157757818354</v>
      </c>
      <c r="G88" s="45">
        <v>1.1415775781835436</v>
      </c>
    </row>
    <row r="89" spans="1:7" x14ac:dyDescent="0.35">
      <c r="A89" s="62" t="s">
        <v>2</v>
      </c>
      <c r="B89" s="226">
        <v>222668</v>
      </c>
      <c r="C89" s="225"/>
      <c r="D89" s="224">
        <v>1245870</v>
      </c>
      <c r="E89" s="225"/>
      <c r="F89" s="58"/>
      <c r="G89" s="46"/>
    </row>
    <row r="91" spans="1:7" ht="40" customHeight="1" x14ac:dyDescent="0.35">
      <c r="A91" s="249" t="s">
        <v>441</v>
      </c>
      <c r="B91" s="227" t="s">
        <v>890</v>
      </c>
      <c r="C91" s="243" t="s">
        <v>890</v>
      </c>
      <c r="D91" s="227" t="s">
        <v>891</v>
      </c>
      <c r="E91" s="228" t="s">
        <v>891</v>
      </c>
      <c r="F91" s="235" t="s">
        <v>1</v>
      </c>
      <c r="G91" s="236" t="s">
        <v>1</v>
      </c>
    </row>
    <row r="92" spans="1:7" x14ac:dyDescent="0.35">
      <c r="A92" s="239" t="s">
        <v>866</v>
      </c>
      <c r="B92" s="35" t="s">
        <v>73</v>
      </c>
      <c r="C92" s="36" t="s">
        <v>74</v>
      </c>
      <c r="D92" s="34" t="s">
        <v>73</v>
      </c>
      <c r="E92" s="36" t="s">
        <v>74</v>
      </c>
      <c r="F92" s="237" t="s">
        <v>864</v>
      </c>
      <c r="G92" s="238" t="s">
        <v>865</v>
      </c>
    </row>
    <row r="93" spans="1:7" ht="15" customHeight="1" x14ac:dyDescent="0.35">
      <c r="A93" s="72" t="s">
        <v>445</v>
      </c>
      <c r="B93" s="67">
        <v>168480</v>
      </c>
      <c r="C93" s="42">
        <v>0.99012112058579815</v>
      </c>
      <c r="D93" s="50">
        <v>938054</v>
      </c>
      <c r="E93" s="42">
        <v>0.9949312338452303</v>
      </c>
      <c r="F93" s="49">
        <v>99.516538118836422</v>
      </c>
      <c r="G93" s="45">
        <v>-0.4834618811635778</v>
      </c>
    </row>
    <row r="94" spans="1:7" ht="27" x14ac:dyDescent="0.35">
      <c r="A94" s="72" t="s">
        <v>888</v>
      </c>
      <c r="B94" s="67">
        <v>1681</v>
      </c>
      <c r="C94" s="42">
        <v>9.8788794142018448E-3</v>
      </c>
      <c r="D94" s="50">
        <v>4779</v>
      </c>
      <c r="E94" s="42">
        <v>5.0687661547697202E-3</v>
      </c>
      <c r="F94" s="49">
        <v>194.89712313727074</v>
      </c>
      <c r="G94" s="45">
        <v>94.897123137270739</v>
      </c>
    </row>
    <row r="95" spans="1:7" ht="30" customHeight="1" x14ac:dyDescent="0.35">
      <c r="A95" s="127" t="s">
        <v>889</v>
      </c>
      <c r="B95" s="67">
        <v>558</v>
      </c>
      <c r="C95" s="42">
        <v>3.2792473010854425E-3</v>
      </c>
      <c r="D95" s="50">
        <v>1917</v>
      </c>
      <c r="E95" s="42">
        <v>2.0332338812918088E-3</v>
      </c>
      <c r="F95" s="49">
        <v>161.28234588546121</v>
      </c>
      <c r="G95" s="45">
        <v>61.282345885461211</v>
      </c>
    </row>
    <row r="96" spans="1:7" x14ac:dyDescent="0.35">
      <c r="A96" s="127" t="s">
        <v>442</v>
      </c>
      <c r="B96" s="67">
        <v>293</v>
      </c>
      <c r="C96" s="42">
        <v>1.721898672433754E-3</v>
      </c>
      <c r="D96" s="50">
        <v>865</v>
      </c>
      <c r="E96" s="42">
        <v>9.1744773464653864E-4</v>
      </c>
      <c r="F96" s="49">
        <v>187.68357121696343</v>
      </c>
      <c r="G96" s="45">
        <v>87.683571216963429</v>
      </c>
    </row>
    <row r="97" spans="1:7" x14ac:dyDescent="0.35">
      <c r="A97" s="127" t="s">
        <v>443</v>
      </c>
      <c r="B97" s="67">
        <v>284</v>
      </c>
      <c r="C97" s="42">
        <v>1.6690075869323759E-3</v>
      </c>
      <c r="D97" s="50">
        <v>893</v>
      </c>
      <c r="E97" s="42">
        <v>9.4714546478538622E-4</v>
      </c>
      <c r="F97" s="49">
        <v>176.21449386452551</v>
      </c>
      <c r="G97" s="45">
        <v>76.214493864525508</v>
      </c>
    </row>
    <row r="98" spans="1:7" x14ac:dyDescent="0.35">
      <c r="A98" s="127" t="s">
        <v>444</v>
      </c>
      <c r="B98" s="67">
        <v>546</v>
      </c>
      <c r="C98" s="42">
        <v>3.2087258537502718E-3</v>
      </c>
      <c r="D98" s="50">
        <v>1104</v>
      </c>
      <c r="E98" s="42">
        <v>1.170939074045987E-3</v>
      </c>
      <c r="F98" s="49">
        <v>274.03012888305523</v>
      </c>
      <c r="G98" s="45">
        <v>174.03012888305523</v>
      </c>
    </row>
    <row r="99" spans="1:7" x14ac:dyDescent="0.35">
      <c r="A99" s="62" t="s">
        <v>440</v>
      </c>
      <c r="B99" s="226">
        <v>170161</v>
      </c>
      <c r="C99" s="225"/>
      <c r="D99" s="224">
        <v>942833</v>
      </c>
      <c r="E99" s="225"/>
      <c r="F99" s="58"/>
      <c r="G99" s="46"/>
    </row>
    <row r="100" spans="1:7" ht="30" customHeight="1" x14ac:dyDescent="0.35">
      <c r="A100" s="289" t="s">
        <v>894</v>
      </c>
      <c r="B100" s="289"/>
      <c r="C100" s="289"/>
      <c r="D100" s="289"/>
      <c r="E100" s="289"/>
      <c r="F100" s="289"/>
      <c r="G100" s="289"/>
    </row>
    <row r="102" spans="1:7" x14ac:dyDescent="0.35">
      <c r="A102" s="126" t="s">
        <v>435</v>
      </c>
    </row>
    <row r="103" spans="1:7" ht="40" customHeight="1" x14ac:dyDescent="0.35">
      <c r="A103" s="249" t="s">
        <v>435</v>
      </c>
      <c r="B103" s="227" t="s">
        <v>890</v>
      </c>
      <c r="C103" s="243" t="s">
        <v>890</v>
      </c>
      <c r="D103" s="227" t="s">
        <v>891</v>
      </c>
      <c r="E103" s="228" t="s">
        <v>891</v>
      </c>
      <c r="F103" s="235" t="s">
        <v>1</v>
      </c>
      <c r="G103" s="236" t="s">
        <v>1</v>
      </c>
    </row>
    <row r="104" spans="1:7" x14ac:dyDescent="0.35">
      <c r="A104" s="239" t="s">
        <v>866</v>
      </c>
      <c r="B104" s="35" t="s">
        <v>73</v>
      </c>
      <c r="C104" s="36" t="s">
        <v>74</v>
      </c>
      <c r="D104" s="34" t="s">
        <v>73</v>
      </c>
      <c r="E104" s="36" t="s">
        <v>74</v>
      </c>
      <c r="F104" s="237" t="s">
        <v>864</v>
      </c>
      <c r="G104" s="238" t="s">
        <v>865</v>
      </c>
    </row>
    <row r="105" spans="1:7" x14ac:dyDescent="0.35">
      <c r="A105" s="72" t="s">
        <v>436</v>
      </c>
      <c r="B105" s="67">
        <v>155011</v>
      </c>
      <c r="C105" s="42">
        <v>0.9244398590180164</v>
      </c>
      <c r="D105" s="50">
        <v>896117</v>
      </c>
      <c r="E105" s="42">
        <v>0.96233425795567185</v>
      </c>
      <c r="F105" s="49">
        <v>96.062241510745324</v>
      </c>
      <c r="G105" s="45">
        <v>-3.9377584892546764</v>
      </c>
    </row>
    <row r="106" spans="1:7" x14ac:dyDescent="0.35">
      <c r="A106" s="72" t="s">
        <v>437</v>
      </c>
      <c r="B106" s="67">
        <v>5549</v>
      </c>
      <c r="C106" s="42">
        <v>3.3092598445858504E-2</v>
      </c>
      <c r="D106" s="50">
        <v>17458</v>
      </c>
      <c r="E106" s="42">
        <v>1.8748033432453706E-2</v>
      </c>
      <c r="F106" s="49">
        <v>176.51237163132907</v>
      </c>
      <c r="G106" s="45">
        <v>76.512371631329074</v>
      </c>
    </row>
    <row r="107" spans="1:7" x14ac:dyDescent="0.35">
      <c r="A107" s="72" t="s">
        <v>438</v>
      </c>
      <c r="B107" s="67">
        <v>5775</v>
      </c>
      <c r="C107" s="42">
        <v>3.4440395751456632E-2</v>
      </c>
      <c r="D107" s="50">
        <v>14413</v>
      </c>
      <c r="E107" s="42">
        <v>1.5478027601211782E-2</v>
      </c>
      <c r="F107" s="49">
        <v>222.5115282050555</v>
      </c>
      <c r="G107" s="45">
        <v>122.5115282050555</v>
      </c>
    </row>
    <row r="108" spans="1:7" x14ac:dyDescent="0.35">
      <c r="A108" s="72" t="s">
        <v>439</v>
      </c>
      <c r="B108" s="67">
        <v>1346</v>
      </c>
      <c r="C108" s="42">
        <v>8.0271467846685079E-3</v>
      </c>
      <c r="D108" s="50">
        <v>3203</v>
      </c>
      <c r="E108" s="42">
        <v>3.439681010662689E-3</v>
      </c>
      <c r="F108" s="49">
        <v>233.36893042654552</v>
      </c>
      <c r="G108" s="45">
        <v>133.36893042654552</v>
      </c>
    </row>
    <row r="109" spans="1:7" x14ac:dyDescent="0.35">
      <c r="A109" s="62" t="s">
        <v>440</v>
      </c>
      <c r="B109" s="226">
        <v>167681</v>
      </c>
      <c r="C109" s="225"/>
      <c r="D109" s="224">
        <v>931191</v>
      </c>
      <c r="E109" s="225"/>
      <c r="F109" s="58"/>
      <c r="G109" s="46"/>
    </row>
    <row r="110" spans="1:7" ht="30" customHeight="1" x14ac:dyDescent="0.35">
      <c r="A110" s="289" t="s">
        <v>895</v>
      </c>
      <c r="B110" s="289"/>
      <c r="C110" s="289"/>
      <c r="D110" s="289"/>
      <c r="E110" s="289"/>
      <c r="F110" s="289"/>
      <c r="G110" s="289"/>
    </row>
    <row r="111" spans="1:7" x14ac:dyDescent="0.35">
      <c r="A111" s="139"/>
      <c r="B111" s="139"/>
      <c r="C111" s="212"/>
      <c r="D111" s="139"/>
      <c r="E111" s="139"/>
      <c r="F111" s="139"/>
      <c r="G111" s="139"/>
    </row>
    <row r="112" spans="1:7" x14ac:dyDescent="0.35">
      <c r="A112" s="126" t="s">
        <v>260</v>
      </c>
      <c r="B112" s="82"/>
      <c r="C112" s="213"/>
      <c r="D112" s="82"/>
      <c r="E112" s="82"/>
      <c r="F112" s="82"/>
      <c r="G112" s="83"/>
    </row>
    <row r="113" spans="1:7" ht="40" customHeight="1" x14ac:dyDescent="0.35">
      <c r="A113" s="249" t="s">
        <v>260</v>
      </c>
      <c r="B113" s="227" t="s">
        <v>890</v>
      </c>
      <c r="C113" s="243" t="s">
        <v>890</v>
      </c>
      <c r="D113" s="227" t="s">
        <v>891</v>
      </c>
      <c r="E113" s="228" t="s">
        <v>891</v>
      </c>
      <c r="F113" s="235" t="s">
        <v>1</v>
      </c>
      <c r="G113" s="236" t="s">
        <v>1</v>
      </c>
    </row>
    <row r="114" spans="1:7" ht="15" customHeight="1" x14ac:dyDescent="0.35">
      <c r="A114" s="239" t="s">
        <v>866</v>
      </c>
      <c r="B114" s="35" t="s">
        <v>73</v>
      </c>
      <c r="C114" s="36" t="s">
        <v>74</v>
      </c>
      <c r="D114" s="34" t="s">
        <v>73</v>
      </c>
      <c r="E114" s="36" t="s">
        <v>74</v>
      </c>
      <c r="F114" s="237" t="s">
        <v>864</v>
      </c>
      <c r="G114" s="238" t="s">
        <v>865</v>
      </c>
    </row>
    <row r="115" spans="1:7" x14ac:dyDescent="0.35">
      <c r="A115" s="84" t="s">
        <v>268</v>
      </c>
      <c r="B115" s="50">
        <v>96475</v>
      </c>
      <c r="C115" s="214">
        <v>0.4641322807068185</v>
      </c>
      <c r="D115" s="41">
        <v>606814</v>
      </c>
      <c r="E115" s="42">
        <v>0.51756154643958618</v>
      </c>
      <c r="F115" s="49">
        <v>89.676731955780184</v>
      </c>
      <c r="G115" s="45">
        <v>-10.323268044219816</v>
      </c>
    </row>
    <row r="116" spans="1:7" x14ac:dyDescent="0.35">
      <c r="A116" s="84" t="s">
        <v>261</v>
      </c>
      <c r="B116" s="50">
        <v>76521</v>
      </c>
      <c r="C116" s="214">
        <v>0.3681354366620001</v>
      </c>
      <c r="D116" s="41">
        <v>494262</v>
      </c>
      <c r="E116" s="42">
        <v>0.42156411201179073</v>
      </c>
      <c r="F116" s="49">
        <v>87.326085445267637</v>
      </c>
      <c r="G116" s="45">
        <v>-12.673914554732363</v>
      </c>
    </row>
    <row r="117" spans="1:7" x14ac:dyDescent="0.35">
      <c r="A117" s="84" t="s">
        <v>262</v>
      </c>
      <c r="B117" s="50">
        <v>1236</v>
      </c>
      <c r="C117" s="214">
        <v>5.9462814092109632E-3</v>
      </c>
      <c r="D117" s="41">
        <v>3979</v>
      </c>
      <c r="E117" s="42">
        <v>3.3937539234149402E-3</v>
      </c>
      <c r="F117" s="49">
        <v>175.21250931557114</v>
      </c>
      <c r="G117" s="45">
        <v>75.21250931557114</v>
      </c>
    </row>
    <row r="118" spans="1:7" x14ac:dyDescent="0.35">
      <c r="A118" s="84" t="s">
        <v>263</v>
      </c>
      <c r="B118" s="50">
        <v>4066</v>
      </c>
      <c r="C118" s="214">
        <v>1.9561149037096905E-2</v>
      </c>
      <c r="D118" s="41">
        <v>7954</v>
      </c>
      <c r="E118" s="42">
        <v>6.7840961816643466E-3</v>
      </c>
      <c r="F118" s="49">
        <v>288.33832117483269</v>
      </c>
      <c r="G118" s="45">
        <v>188.33832117483269</v>
      </c>
    </row>
    <row r="119" spans="1:7" x14ac:dyDescent="0.35">
      <c r="A119" s="84" t="s">
        <v>264</v>
      </c>
      <c r="B119" s="50">
        <v>419</v>
      </c>
      <c r="C119" s="214">
        <v>2.0157701540933605E-3</v>
      </c>
      <c r="D119" s="41">
        <v>1123</v>
      </c>
      <c r="E119" s="42">
        <v>9.578249952236688E-4</v>
      </c>
      <c r="F119" s="49">
        <v>210.45286603975532</v>
      </c>
      <c r="G119" s="45">
        <v>110.45286603975532</v>
      </c>
    </row>
    <row r="120" spans="1:7" x14ac:dyDescent="0.35">
      <c r="A120" s="84" t="s">
        <v>265</v>
      </c>
      <c r="B120" s="50">
        <v>26515</v>
      </c>
      <c r="C120" s="214">
        <v>0.12756120676798438</v>
      </c>
      <c r="D120" s="41">
        <v>49409</v>
      </c>
      <c r="E120" s="42">
        <v>4.2141741040967275E-2</v>
      </c>
      <c r="F120" s="49">
        <v>302.69562580240392</v>
      </c>
      <c r="G120" s="45">
        <v>202.69562580240392</v>
      </c>
    </row>
    <row r="121" spans="1:7" x14ac:dyDescent="0.35">
      <c r="A121" s="84" t="s">
        <v>266</v>
      </c>
      <c r="B121" s="50">
        <v>1121</v>
      </c>
      <c r="C121" s="214">
        <v>5.3930270709753149E-3</v>
      </c>
      <c r="D121" s="41">
        <v>2766</v>
      </c>
      <c r="E121" s="42">
        <v>2.3591664619667567E-3</v>
      </c>
      <c r="F121" s="49">
        <v>228.59883598376234</v>
      </c>
      <c r="G121" s="45">
        <v>128.59883598376234</v>
      </c>
    </row>
    <row r="122" spans="1:7" x14ac:dyDescent="0.35">
      <c r="A122" s="84" t="s">
        <v>267</v>
      </c>
      <c r="B122" s="50">
        <v>1508</v>
      </c>
      <c r="C122" s="214">
        <v>7.2548481918204956E-3</v>
      </c>
      <c r="D122" s="41">
        <v>6141</v>
      </c>
      <c r="E122" s="42">
        <v>5.237758945386064E-3</v>
      </c>
      <c r="F122" s="49">
        <v>138.51053986001557</v>
      </c>
      <c r="G122" s="45">
        <v>38.51053986001557</v>
      </c>
    </row>
    <row r="123" spans="1:7" ht="27" x14ac:dyDescent="0.35">
      <c r="A123" s="62" t="s">
        <v>378</v>
      </c>
      <c r="B123" s="226">
        <v>207861</v>
      </c>
      <c r="C123" s="225"/>
      <c r="D123" s="224">
        <v>1172448</v>
      </c>
      <c r="E123" s="225"/>
      <c r="F123" s="58"/>
      <c r="G123" s="46"/>
    </row>
    <row r="124" spans="1:7" ht="30" customHeight="1" x14ac:dyDescent="0.35">
      <c r="A124" s="287" t="s">
        <v>896</v>
      </c>
      <c r="B124" s="287"/>
      <c r="C124" s="287"/>
      <c r="D124" s="287"/>
      <c r="E124" s="287"/>
      <c r="F124" s="287"/>
      <c r="G124" s="287"/>
    </row>
    <row r="125" spans="1:7" x14ac:dyDescent="0.35">
      <c r="A125" s="291"/>
      <c r="B125" s="291"/>
      <c r="C125" s="291"/>
      <c r="D125" s="291"/>
      <c r="E125" s="291"/>
      <c r="F125" s="291"/>
      <c r="G125" s="291"/>
    </row>
    <row r="126" spans="1:7" x14ac:dyDescent="0.35">
      <c r="A126" s="139"/>
      <c r="B126" s="139"/>
      <c r="C126" s="212"/>
      <c r="D126" s="139"/>
      <c r="E126" s="139"/>
      <c r="F126" s="139"/>
      <c r="G126" s="139"/>
    </row>
    <row r="127" spans="1:7" ht="15" customHeight="1" x14ac:dyDescent="0.35">
      <c r="A127" s="17" t="s">
        <v>182</v>
      </c>
      <c r="B127" s="9"/>
      <c r="C127" s="210"/>
      <c r="D127" s="9"/>
      <c r="E127" s="9"/>
      <c r="F127" s="9"/>
    </row>
    <row r="128" spans="1:7" ht="15" customHeight="1" x14ac:dyDescent="0.35">
      <c r="A128" s="126" t="s">
        <v>455</v>
      </c>
      <c r="B128" s="9"/>
      <c r="C128" s="210"/>
      <c r="D128" s="9"/>
      <c r="E128" s="9"/>
      <c r="F128" s="9"/>
    </row>
    <row r="129" spans="1:7" ht="40" customHeight="1" x14ac:dyDescent="0.35">
      <c r="A129" s="249" t="s">
        <v>101</v>
      </c>
      <c r="B129" s="227" t="s">
        <v>890</v>
      </c>
      <c r="C129" s="243" t="s">
        <v>890</v>
      </c>
      <c r="D129" s="227" t="s">
        <v>891</v>
      </c>
      <c r="E129" s="228" t="s">
        <v>891</v>
      </c>
      <c r="F129" s="235" t="s">
        <v>1</v>
      </c>
      <c r="G129" s="236" t="s">
        <v>1</v>
      </c>
    </row>
    <row r="130" spans="1:7" x14ac:dyDescent="0.35">
      <c r="A130" s="239" t="s">
        <v>866</v>
      </c>
      <c r="B130" s="35" t="s">
        <v>73</v>
      </c>
      <c r="C130" s="36" t="s">
        <v>74</v>
      </c>
      <c r="D130" s="34" t="s">
        <v>73</v>
      </c>
      <c r="E130" s="36" t="s">
        <v>74</v>
      </c>
      <c r="F130" s="237" t="s">
        <v>864</v>
      </c>
      <c r="G130" s="238" t="s">
        <v>865</v>
      </c>
    </row>
    <row r="131" spans="1:7" x14ac:dyDescent="0.35">
      <c r="A131" s="70" t="s">
        <v>181</v>
      </c>
      <c r="B131" s="67">
        <v>22552</v>
      </c>
      <c r="C131" s="48">
        <v>0.25302367328621117</v>
      </c>
      <c r="D131" s="50">
        <v>149122</v>
      </c>
      <c r="E131" s="48">
        <v>0.28306868765482485</v>
      </c>
      <c r="F131" s="49">
        <v>89.385963308929917</v>
      </c>
      <c r="G131" s="45">
        <v>-10.614036691070083</v>
      </c>
    </row>
    <row r="132" spans="1:7" x14ac:dyDescent="0.35">
      <c r="A132" s="70" t="s">
        <v>143</v>
      </c>
      <c r="B132" s="67">
        <v>66578</v>
      </c>
      <c r="C132" s="42">
        <v>0.74697632671378889</v>
      </c>
      <c r="D132" s="50">
        <v>377683</v>
      </c>
      <c r="E132" s="42">
        <v>0.71693131234517515</v>
      </c>
      <c r="F132" s="49">
        <v>104.19078004423221</v>
      </c>
      <c r="G132" s="45">
        <v>4.1907800442322127</v>
      </c>
    </row>
    <row r="133" spans="1:7" x14ac:dyDescent="0.35">
      <c r="A133" s="62" t="s">
        <v>207</v>
      </c>
      <c r="B133" s="226">
        <v>89130</v>
      </c>
      <c r="C133" s="225"/>
      <c r="D133" s="224">
        <v>526805</v>
      </c>
      <c r="E133" s="225"/>
      <c r="F133" s="58"/>
      <c r="G133" s="46"/>
    </row>
    <row r="134" spans="1:7" x14ac:dyDescent="0.35">
      <c r="A134" s="11"/>
      <c r="B134" s="11"/>
      <c r="C134" s="209"/>
      <c r="D134" s="11"/>
      <c r="E134" s="11"/>
      <c r="F134" s="11"/>
    </row>
    <row r="135" spans="1:7" x14ac:dyDescent="0.35">
      <c r="A135" s="141" t="s">
        <v>303</v>
      </c>
      <c r="B135" s="114"/>
      <c r="C135" s="215"/>
      <c r="D135" s="114"/>
      <c r="E135" s="114"/>
      <c r="F135" s="114"/>
      <c r="G135" s="114"/>
    </row>
    <row r="136" spans="1:7" ht="33" customHeight="1" x14ac:dyDescent="0.35">
      <c r="A136" s="279" t="s">
        <v>304</v>
      </c>
      <c r="B136" s="279"/>
      <c r="C136" s="279"/>
      <c r="D136" s="279"/>
      <c r="E136" s="279"/>
      <c r="F136" s="279"/>
      <c r="G136" s="279"/>
    </row>
    <row r="137" spans="1:7" ht="16.5" customHeight="1" x14ac:dyDescent="0.35">
      <c r="A137" s="280" t="s">
        <v>298</v>
      </c>
      <c r="B137" s="280"/>
      <c r="C137" s="280"/>
      <c r="D137" s="280"/>
      <c r="E137" s="280"/>
      <c r="F137" s="280"/>
      <c r="G137" s="280"/>
    </row>
    <row r="138" spans="1:7" x14ac:dyDescent="0.35">
      <c r="A138" s="280" t="s">
        <v>305</v>
      </c>
      <c r="B138" s="280"/>
      <c r="C138" s="280"/>
      <c r="D138" s="280"/>
      <c r="E138" s="280"/>
      <c r="F138" s="280"/>
      <c r="G138" s="280"/>
    </row>
    <row r="139" spans="1:7" x14ac:dyDescent="0.35">
      <c r="A139" s="290" t="s">
        <v>299</v>
      </c>
      <c r="B139" s="290"/>
      <c r="C139" s="290"/>
      <c r="D139" s="290"/>
      <c r="E139" s="290"/>
      <c r="F139" s="290"/>
      <c r="G139" s="290"/>
    </row>
    <row r="140" spans="1:7" ht="16.5" customHeight="1" x14ac:dyDescent="0.35">
      <c r="A140" s="280" t="s">
        <v>300</v>
      </c>
      <c r="B140" s="280"/>
      <c r="C140" s="280"/>
      <c r="D140" s="280"/>
      <c r="E140" s="280"/>
      <c r="F140" s="280"/>
      <c r="G140" s="280"/>
    </row>
    <row r="141" spans="1:7" ht="16.5" customHeight="1" x14ac:dyDescent="0.35">
      <c r="A141" s="280" t="s">
        <v>301</v>
      </c>
      <c r="B141" s="280"/>
      <c r="C141" s="280"/>
      <c r="D141" s="280"/>
      <c r="E141" s="280"/>
      <c r="F141" s="280"/>
      <c r="G141" s="280"/>
    </row>
    <row r="142" spans="1:7" ht="16.5" customHeight="1" x14ac:dyDescent="0.35">
      <c r="A142" s="290" t="s">
        <v>302</v>
      </c>
      <c r="B142" s="290"/>
      <c r="C142" s="290"/>
      <c r="D142" s="290"/>
      <c r="E142" s="290"/>
      <c r="F142" s="290"/>
      <c r="G142" s="290"/>
    </row>
    <row r="143" spans="1:7" ht="6.75" customHeight="1" x14ac:dyDescent="0.35">
      <c r="A143" s="290"/>
      <c r="B143" s="290"/>
      <c r="C143" s="290"/>
      <c r="D143" s="290"/>
      <c r="E143" s="290"/>
      <c r="F143" s="290"/>
      <c r="G143" s="290"/>
    </row>
    <row r="144" spans="1:7" ht="40" customHeight="1" x14ac:dyDescent="0.35">
      <c r="A144" s="249" t="s">
        <v>524</v>
      </c>
      <c r="B144" s="227" t="s">
        <v>890</v>
      </c>
      <c r="C144" s="243" t="s">
        <v>890</v>
      </c>
      <c r="D144" s="227" t="s">
        <v>891</v>
      </c>
      <c r="E144" s="228" t="s">
        <v>891</v>
      </c>
      <c r="F144" s="235" t="s">
        <v>1</v>
      </c>
      <c r="G144" s="236" t="s">
        <v>1</v>
      </c>
    </row>
    <row r="145" spans="1:7" ht="15.75" customHeight="1" x14ac:dyDescent="0.35">
      <c r="A145" s="239" t="s">
        <v>866</v>
      </c>
      <c r="B145" s="35" t="s">
        <v>73</v>
      </c>
      <c r="C145" s="36" t="s">
        <v>74</v>
      </c>
      <c r="D145" s="34" t="s">
        <v>73</v>
      </c>
      <c r="E145" s="36" t="s">
        <v>74</v>
      </c>
      <c r="F145" s="237" t="s">
        <v>864</v>
      </c>
      <c r="G145" s="238" t="s">
        <v>865</v>
      </c>
    </row>
    <row r="146" spans="1:7" x14ac:dyDescent="0.35">
      <c r="A146" s="84" t="s">
        <v>293</v>
      </c>
      <c r="B146" s="50">
        <v>43777</v>
      </c>
      <c r="C146" s="214">
        <v>0.49117000269275646</v>
      </c>
      <c r="D146" s="41">
        <v>244653</v>
      </c>
      <c r="E146" s="42">
        <v>0.46431913032091054</v>
      </c>
      <c r="F146" s="49">
        <v>105.78284860959491</v>
      </c>
      <c r="G146" s="45">
        <v>5.7828486095949074</v>
      </c>
    </row>
    <row r="147" spans="1:7" x14ac:dyDescent="0.35">
      <c r="A147" s="84" t="s">
        <v>294</v>
      </c>
      <c r="B147" s="50">
        <v>28320</v>
      </c>
      <c r="C147" s="214">
        <v>0.31774526523651375</v>
      </c>
      <c r="D147" s="41">
        <v>172067</v>
      </c>
      <c r="E147" s="42">
        <v>0.32656047461886062</v>
      </c>
      <c r="F147" s="49">
        <v>97.300588997295108</v>
      </c>
      <c r="G147" s="45">
        <v>-2.6994110027048919</v>
      </c>
    </row>
    <row r="148" spans="1:7" x14ac:dyDescent="0.35">
      <c r="A148" s="84" t="s">
        <v>295</v>
      </c>
      <c r="B148" s="50">
        <v>12728</v>
      </c>
      <c r="C148" s="214">
        <v>0.14280585225742751</v>
      </c>
      <c r="D148" s="41">
        <v>83988</v>
      </c>
      <c r="E148" s="42">
        <v>0.15939814806028388</v>
      </c>
      <c r="F148" s="49">
        <v>89.590659612568885</v>
      </c>
      <c r="G148" s="45">
        <v>-10.409340387431115</v>
      </c>
    </row>
    <row r="149" spans="1:7" x14ac:dyDescent="0.35">
      <c r="A149" s="84" t="s">
        <v>296</v>
      </c>
      <c r="B149" s="50">
        <v>4043</v>
      </c>
      <c r="C149" s="214">
        <v>4.5361726954492414E-2</v>
      </c>
      <c r="D149" s="41">
        <v>25066</v>
      </c>
      <c r="E149" s="42">
        <v>4.757196241461966E-2</v>
      </c>
      <c r="F149" s="49">
        <v>95.353911531200566</v>
      </c>
      <c r="G149" s="45">
        <v>-4.6460884687994337</v>
      </c>
    </row>
    <row r="150" spans="1:7" x14ac:dyDescent="0.35">
      <c r="A150" s="84" t="s">
        <v>297</v>
      </c>
      <c r="B150" s="50">
        <v>260</v>
      </c>
      <c r="C150" s="214">
        <v>2.9171528588098016E-3</v>
      </c>
      <c r="D150" s="86">
        <v>1133</v>
      </c>
      <c r="E150" s="53">
        <v>2.150284585325304E-3</v>
      </c>
      <c r="F150" s="49">
        <v>135.66357117183549</v>
      </c>
      <c r="G150" s="45">
        <v>35.663571171835486</v>
      </c>
    </row>
    <row r="151" spans="1:7" ht="15" customHeight="1" x14ac:dyDescent="0.35">
      <c r="A151" s="62" t="s">
        <v>207</v>
      </c>
      <c r="B151" s="226">
        <v>89128</v>
      </c>
      <c r="C151" s="225"/>
      <c r="D151" s="224">
        <v>526907</v>
      </c>
      <c r="E151" s="225"/>
      <c r="F151" s="58"/>
      <c r="G151" s="46"/>
    </row>
    <row r="152" spans="1:7" x14ac:dyDescent="0.35">
      <c r="A152" s="229"/>
      <c r="B152" s="229"/>
      <c r="C152" s="229"/>
      <c r="D152" s="229"/>
      <c r="E152" s="229"/>
      <c r="F152" s="229"/>
      <c r="G152" s="229"/>
    </row>
    <row r="153" spans="1:7" ht="15" customHeight="1" x14ac:dyDescent="0.35">
      <c r="A153" s="126" t="s">
        <v>466</v>
      </c>
      <c r="B153" s="9"/>
      <c r="C153" s="210"/>
      <c r="D153" s="9"/>
      <c r="E153" s="9"/>
      <c r="F153" s="9"/>
    </row>
    <row r="154" spans="1:7" ht="40" customHeight="1" x14ac:dyDescent="0.35">
      <c r="A154" s="244" t="s">
        <v>468</v>
      </c>
      <c r="B154" s="227" t="s">
        <v>890</v>
      </c>
      <c r="C154" s="243" t="s">
        <v>890</v>
      </c>
      <c r="D154" s="227" t="s">
        <v>891</v>
      </c>
      <c r="E154" s="228" t="s">
        <v>891</v>
      </c>
      <c r="F154" s="235" t="s">
        <v>1</v>
      </c>
      <c r="G154" s="236" t="s">
        <v>1</v>
      </c>
    </row>
    <row r="155" spans="1:7" x14ac:dyDescent="0.35">
      <c r="A155" s="239" t="s">
        <v>866</v>
      </c>
      <c r="B155" s="35" t="s">
        <v>73</v>
      </c>
      <c r="C155" s="36" t="s">
        <v>74</v>
      </c>
      <c r="D155" s="34" t="s">
        <v>73</v>
      </c>
      <c r="E155" s="36" t="s">
        <v>74</v>
      </c>
      <c r="F155" s="237" t="s">
        <v>864</v>
      </c>
      <c r="G155" s="238" t="s">
        <v>865</v>
      </c>
    </row>
    <row r="156" spans="1:7" x14ac:dyDescent="0.35">
      <c r="A156" s="70" t="s">
        <v>469</v>
      </c>
      <c r="B156" s="67">
        <v>1294</v>
      </c>
      <c r="C156" s="48">
        <v>9.5420691689403439E-2</v>
      </c>
      <c r="D156" s="50">
        <v>6714</v>
      </c>
      <c r="E156" s="48">
        <v>0.27222965575963992</v>
      </c>
      <c r="F156" s="49">
        <v>35.051541839972558</v>
      </c>
      <c r="G156" s="45">
        <v>-64.948458160027442</v>
      </c>
    </row>
    <row r="157" spans="1:7" x14ac:dyDescent="0.35">
      <c r="A157" s="143" t="s">
        <v>472</v>
      </c>
      <c r="B157" s="67">
        <v>48</v>
      </c>
      <c r="C157" s="48">
        <v>3.5395619792050735E-3</v>
      </c>
      <c r="D157" s="50">
        <v>202</v>
      </c>
      <c r="E157" s="48">
        <v>8.190406682074363E-3</v>
      </c>
      <c r="F157" s="49">
        <v>43.215949056007283</v>
      </c>
      <c r="G157" s="45">
        <v>-56.784050943992717</v>
      </c>
    </row>
    <row r="158" spans="1:7" x14ac:dyDescent="0.35">
      <c r="A158" s="144" t="s">
        <v>473</v>
      </c>
      <c r="B158" s="67">
        <v>48</v>
      </c>
      <c r="C158" s="48">
        <v>3.5395619792050735E-3</v>
      </c>
      <c r="D158" s="50">
        <v>111</v>
      </c>
      <c r="E158" s="48">
        <v>4.5006690183675953E-3</v>
      </c>
      <c r="F158" s="49">
        <v>78.645240624445705</v>
      </c>
      <c r="G158" s="45">
        <v>-21.354759375554295</v>
      </c>
    </row>
    <row r="159" spans="1:7" ht="27" x14ac:dyDescent="0.35">
      <c r="A159" s="144" t="s">
        <v>475</v>
      </c>
      <c r="B159" s="67">
        <v>0</v>
      </c>
      <c r="C159" s="48">
        <v>0</v>
      </c>
      <c r="D159" s="50">
        <v>65</v>
      </c>
      <c r="E159" s="48">
        <v>2.635526902647691E-3</v>
      </c>
      <c r="F159" s="49">
        <v>0</v>
      </c>
      <c r="G159" s="45">
        <v>-100</v>
      </c>
    </row>
    <row r="160" spans="1:7" x14ac:dyDescent="0.35">
      <c r="A160" s="144" t="s">
        <v>476</v>
      </c>
      <c r="B160" s="67">
        <v>0</v>
      </c>
      <c r="C160" s="48">
        <v>0</v>
      </c>
      <c r="D160" s="50">
        <v>26</v>
      </c>
      <c r="E160" s="48">
        <v>1.0542107610590763E-3</v>
      </c>
      <c r="F160" s="49">
        <v>0</v>
      </c>
      <c r="G160" s="45">
        <v>-100</v>
      </c>
    </row>
    <row r="161" spans="1:7" x14ac:dyDescent="0.35">
      <c r="A161" s="143" t="s">
        <v>474</v>
      </c>
      <c r="B161" s="67">
        <v>15</v>
      </c>
      <c r="C161" s="48">
        <v>1.1061131185015854E-3</v>
      </c>
      <c r="D161" s="50">
        <v>444</v>
      </c>
      <c r="E161" s="48">
        <v>1.8002676073470381E-2</v>
      </c>
      <c r="F161" s="49">
        <v>6.1441594237848198</v>
      </c>
      <c r="G161" s="45">
        <v>-93.855840576215186</v>
      </c>
    </row>
    <row r="162" spans="1:7" x14ac:dyDescent="0.35">
      <c r="A162" s="144" t="s">
        <v>477</v>
      </c>
      <c r="B162" s="67">
        <v>0</v>
      </c>
      <c r="C162" s="48">
        <v>0</v>
      </c>
      <c r="D162" s="50">
        <v>43</v>
      </c>
      <c r="E162" s="48">
        <v>1.7435024125207802E-3</v>
      </c>
      <c r="F162" s="49">
        <v>0</v>
      </c>
      <c r="G162" s="45">
        <v>-100</v>
      </c>
    </row>
    <row r="163" spans="1:7" x14ac:dyDescent="0.35">
      <c r="A163" s="144" t="s">
        <v>478</v>
      </c>
      <c r="B163" s="67">
        <v>0</v>
      </c>
      <c r="C163" s="48">
        <v>0</v>
      </c>
      <c r="D163" s="50">
        <v>10</v>
      </c>
      <c r="E163" s="48">
        <v>4.0546567733041396E-4</v>
      </c>
      <c r="F163" s="49">
        <v>0</v>
      </c>
      <c r="G163" s="45">
        <v>-100</v>
      </c>
    </row>
    <row r="164" spans="1:7" x14ac:dyDescent="0.35">
      <c r="A164" s="144" t="s">
        <v>479</v>
      </c>
      <c r="B164" s="67">
        <v>15</v>
      </c>
      <c r="C164" s="48">
        <v>1.1061131185015854E-3</v>
      </c>
      <c r="D164" s="50">
        <v>375</v>
      </c>
      <c r="E164" s="48">
        <v>1.5204962899890524E-2</v>
      </c>
      <c r="F164" s="49">
        <v>7.2746847577612268</v>
      </c>
      <c r="G164" s="45">
        <v>-92.725315242238779</v>
      </c>
    </row>
    <row r="165" spans="1:7" x14ac:dyDescent="0.35">
      <c r="A165" s="144" t="s">
        <v>480</v>
      </c>
      <c r="B165" s="67">
        <v>0</v>
      </c>
      <c r="C165" s="48">
        <v>0</v>
      </c>
      <c r="D165" s="50">
        <v>16</v>
      </c>
      <c r="E165" s="48">
        <v>6.487450837286624E-4</v>
      </c>
      <c r="F165" s="63">
        <v>0</v>
      </c>
      <c r="G165" s="91">
        <v>-100</v>
      </c>
    </row>
    <row r="166" spans="1:7" ht="14.5" customHeight="1" x14ac:dyDescent="0.35">
      <c r="A166" s="143" t="s">
        <v>481</v>
      </c>
      <c r="B166" s="67">
        <v>45</v>
      </c>
      <c r="C166" s="48">
        <v>3.3183393555047563E-3</v>
      </c>
      <c r="D166" s="50">
        <v>220</v>
      </c>
      <c r="E166" s="48">
        <v>8.920244901269107E-3</v>
      </c>
      <c r="F166" s="49">
        <v>37.200092511279003</v>
      </c>
      <c r="G166" s="45">
        <v>-62.799907488720997</v>
      </c>
    </row>
    <row r="167" spans="1:7" x14ac:dyDescent="0.35">
      <c r="A167" s="144" t="s">
        <v>482</v>
      </c>
      <c r="B167" s="67">
        <v>45</v>
      </c>
      <c r="C167" s="48">
        <v>3.3183393555047563E-3</v>
      </c>
      <c r="D167" s="50">
        <v>220</v>
      </c>
      <c r="E167" s="48">
        <v>8.920244901269107E-3</v>
      </c>
      <c r="F167" s="49">
        <v>37.200092511279003</v>
      </c>
      <c r="G167" s="45">
        <v>-62.799907488720997</v>
      </c>
    </row>
    <row r="168" spans="1:7" x14ac:dyDescent="0.35">
      <c r="A168" s="143" t="s">
        <v>99</v>
      </c>
      <c r="B168" s="67">
        <v>1186</v>
      </c>
      <c r="C168" s="48">
        <v>8.7456677236192021E-2</v>
      </c>
      <c r="D168" s="50">
        <v>5848</v>
      </c>
      <c r="E168" s="48">
        <v>0.2371163281028261</v>
      </c>
      <c r="F168" s="49">
        <v>36.883447856980226</v>
      </c>
      <c r="G168" s="45">
        <v>-63.116552143019774</v>
      </c>
    </row>
    <row r="169" spans="1:7" x14ac:dyDescent="0.35">
      <c r="A169" s="144" t="s">
        <v>478</v>
      </c>
      <c r="B169" s="67">
        <v>738</v>
      </c>
      <c r="C169" s="48">
        <v>5.4420765430278004E-2</v>
      </c>
      <c r="D169" s="50">
        <v>3263</v>
      </c>
      <c r="E169" s="48">
        <v>0.13230345051291409</v>
      </c>
      <c r="F169" s="49">
        <v>41.1332926082423</v>
      </c>
      <c r="G169" s="45">
        <v>-58.8667073917577</v>
      </c>
    </row>
    <row r="170" spans="1:7" x14ac:dyDescent="0.35">
      <c r="A170" s="144" t="s">
        <v>479</v>
      </c>
      <c r="B170" s="67">
        <v>428</v>
      </c>
      <c r="C170" s="48">
        <v>3.1561094314578569E-2</v>
      </c>
      <c r="D170" s="50">
        <v>2268</v>
      </c>
      <c r="E170" s="48">
        <v>9.1959615618537896E-2</v>
      </c>
      <c r="F170" s="49">
        <v>34.320602693141588</v>
      </c>
      <c r="G170" s="45">
        <v>-65.679397306858419</v>
      </c>
    </row>
    <row r="171" spans="1:7" x14ac:dyDescent="0.35">
      <c r="A171" s="144" t="s">
        <v>477</v>
      </c>
      <c r="B171" s="67">
        <v>14</v>
      </c>
      <c r="C171" s="48">
        <v>1.032372243934813E-3</v>
      </c>
      <c r="D171" s="50">
        <v>134</v>
      </c>
      <c r="E171" s="48">
        <v>5.4332400762275475E-3</v>
      </c>
      <c r="F171" s="49">
        <v>19.001042277734548</v>
      </c>
      <c r="G171" s="45">
        <v>-80.998957722265459</v>
      </c>
    </row>
    <row r="172" spans="1:7" ht="27" x14ac:dyDescent="0.35">
      <c r="A172" s="144" t="s">
        <v>475</v>
      </c>
      <c r="B172" s="67">
        <v>0</v>
      </c>
      <c r="C172" s="48">
        <v>0</v>
      </c>
      <c r="D172" s="50">
        <v>169</v>
      </c>
      <c r="E172" s="48">
        <v>6.8523699468839962E-3</v>
      </c>
      <c r="F172" s="49">
        <v>0</v>
      </c>
      <c r="G172" s="45">
        <v>-100</v>
      </c>
    </row>
    <row r="173" spans="1:7" x14ac:dyDescent="0.35">
      <c r="A173" s="144" t="s">
        <v>476</v>
      </c>
      <c r="B173" s="67">
        <v>0</v>
      </c>
      <c r="C173" s="48">
        <v>0</v>
      </c>
      <c r="D173" s="50">
        <v>0</v>
      </c>
      <c r="E173" s="48">
        <v>0</v>
      </c>
      <c r="F173" s="49">
        <v>100</v>
      </c>
      <c r="G173" s="45">
        <v>0</v>
      </c>
    </row>
    <row r="174" spans="1:7" x14ac:dyDescent="0.35">
      <c r="A174" s="144" t="s">
        <v>470</v>
      </c>
      <c r="B174" s="67">
        <v>6</v>
      </c>
      <c r="C174" s="48">
        <v>4.4244524740063418E-4</v>
      </c>
      <c r="D174" s="50">
        <v>14</v>
      </c>
      <c r="E174" s="48">
        <v>5.6765194826257953E-4</v>
      </c>
      <c r="F174" s="49">
        <v>77.943050976013154</v>
      </c>
      <c r="G174" s="45">
        <v>-22.056949023986846</v>
      </c>
    </row>
    <row r="175" spans="1:7" x14ac:dyDescent="0.35">
      <c r="A175" s="70" t="s">
        <v>470</v>
      </c>
      <c r="B175" s="67">
        <v>12089</v>
      </c>
      <c r="C175" s="48">
        <v>0.89145343263771104</v>
      </c>
      <c r="D175" s="50">
        <v>17521</v>
      </c>
      <c r="E175" s="48">
        <v>0.71041641325061833</v>
      </c>
      <c r="F175" s="63">
        <v>125.48322589546184</v>
      </c>
      <c r="G175" s="91">
        <v>25.483225895461842</v>
      </c>
    </row>
    <row r="176" spans="1:7" x14ac:dyDescent="0.35">
      <c r="A176" s="143" t="s">
        <v>483</v>
      </c>
      <c r="B176" s="67">
        <v>0</v>
      </c>
      <c r="C176" s="48">
        <v>0</v>
      </c>
      <c r="D176" s="50">
        <v>418</v>
      </c>
      <c r="E176" s="48">
        <v>1.6948465312411305E-2</v>
      </c>
      <c r="F176" s="49">
        <v>0</v>
      </c>
      <c r="G176" s="45">
        <v>-100</v>
      </c>
    </row>
    <row r="177" spans="1:7" x14ac:dyDescent="0.35">
      <c r="A177" s="143" t="s">
        <v>484</v>
      </c>
      <c r="B177" s="67">
        <v>368</v>
      </c>
      <c r="C177" s="48">
        <v>2.7136641840572229E-2</v>
      </c>
      <c r="D177" s="50">
        <v>2304</v>
      </c>
      <c r="E177" s="48">
        <v>9.341929205692738E-2</v>
      </c>
      <c r="F177" s="49">
        <v>29.048220386893792</v>
      </c>
      <c r="G177" s="45">
        <v>-70.951779613106211</v>
      </c>
    </row>
    <row r="178" spans="1:7" x14ac:dyDescent="0.35">
      <c r="A178" s="143" t="s">
        <v>485</v>
      </c>
      <c r="B178" s="67">
        <v>68</v>
      </c>
      <c r="C178" s="48">
        <v>5.0143794705405208E-3</v>
      </c>
      <c r="D178" s="50">
        <v>68</v>
      </c>
      <c r="E178" s="48">
        <v>2.7571666058468151E-3</v>
      </c>
      <c r="F178" s="49">
        <v>181.86711894403066</v>
      </c>
      <c r="G178" s="45">
        <v>81.867118944030665</v>
      </c>
    </row>
    <row r="179" spans="1:7" x14ac:dyDescent="0.35">
      <c r="A179" s="143" t="s">
        <v>486</v>
      </c>
      <c r="B179" s="67">
        <v>0</v>
      </c>
      <c r="C179" s="48">
        <v>0</v>
      </c>
      <c r="D179" s="50">
        <v>0</v>
      </c>
      <c r="E179" s="48">
        <v>0</v>
      </c>
      <c r="F179" s="49">
        <v>100</v>
      </c>
      <c r="G179" s="45">
        <v>0</v>
      </c>
    </row>
    <row r="180" spans="1:7" x14ac:dyDescent="0.35">
      <c r="A180" s="143" t="s">
        <v>392</v>
      </c>
      <c r="B180" s="67">
        <v>11033</v>
      </c>
      <c r="C180" s="48">
        <v>0.81358306909519951</v>
      </c>
      <c r="D180" s="50">
        <v>13527</v>
      </c>
      <c r="E180" s="48">
        <v>0.54847342172485103</v>
      </c>
      <c r="F180" s="49">
        <v>148.3359150816508</v>
      </c>
      <c r="G180" s="45">
        <v>48.335915081650796</v>
      </c>
    </row>
    <row r="181" spans="1:7" x14ac:dyDescent="0.35">
      <c r="A181" s="143" t="s">
        <v>487</v>
      </c>
      <c r="B181" s="67">
        <v>31</v>
      </c>
      <c r="C181" s="48">
        <v>2.2859671115699432E-3</v>
      </c>
      <c r="D181" s="50">
        <v>156</v>
      </c>
      <c r="E181" s="48">
        <v>6.3252645663544578E-3</v>
      </c>
      <c r="F181" s="49">
        <v>36.140260815800964</v>
      </c>
      <c r="G181" s="45">
        <v>-63.859739184199036</v>
      </c>
    </row>
    <row r="182" spans="1:7" x14ac:dyDescent="0.35">
      <c r="A182" s="143" t="s">
        <v>488</v>
      </c>
      <c r="B182" s="67">
        <v>336</v>
      </c>
      <c r="C182" s="48">
        <v>2.4776933854435513E-2</v>
      </c>
      <c r="D182" s="50">
        <v>602</v>
      </c>
      <c r="E182" s="48">
        <v>2.4409033775290922E-2</v>
      </c>
      <c r="F182" s="49">
        <v>101.50722917806362</v>
      </c>
      <c r="G182" s="45">
        <v>1.5072291780636249</v>
      </c>
    </row>
    <row r="183" spans="1:7" x14ac:dyDescent="0.35">
      <c r="A183" s="143" t="s">
        <v>489</v>
      </c>
      <c r="B183" s="67">
        <v>0</v>
      </c>
      <c r="C183" s="48">
        <v>0</v>
      </c>
      <c r="D183" s="50">
        <v>0</v>
      </c>
      <c r="E183" s="48">
        <v>0</v>
      </c>
      <c r="F183" s="49">
        <v>100</v>
      </c>
      <c r="G183" s="45">
        <v>0</v>
      </c>
    </row>
    <row r="184" spans="1:7" x14ac:dyDescent="0.35">
      <c r="A184" s="143" t="s">
        <v>490</v>
      </c>
      <c r="B184" s="67">
        <v>12</v>
      </c>
      <c r="C184" s="48">
        <v>8.8489049480126836E-4</v>
      </c>
      <c r="D184" s="50">
        <v>20</v>
      </c>
      <c r="E184" s="48">
        <v>8.1093135466082792E-4</v>
      </c>
      <c r="F184" s="49">
        <v>109.12027136641842</v>
      </c>
      <c r="G184" s="45">
        <v>9.1202713664184216</v>
      </c>
    </row>
    <row r="185" spans="1:7" x14ac:dyDescent="0.35">
      <c r="A185" s="143" t="s">
        <v>491</v>
      </c>
      <c r="B185" s="67">
        <v>0</v>
      </c>
      <c r="C185" s="48">
        <v>0</v>
      </c>
      <c r="D185" s="50">
        <v>40</v>
      </c>
      <c r="E185" s="48">
        <v>1.6218627093216558E-3</v>
      </c>
      <c r="F185" s="63">
        <v>0</v>
      </c>
      <c r="G185" s="91">
        <v>-100</v>
      </c>
    </row>
    <row r="186" spans="1:7" x14ac:dyDescent="0.35">
      <c r="A186" s="143" t="s">
        <v>492</v>
      </c>
      <c r="B186" s="67">
        <v>241</v>
      </c>
      <c r="C186" s="48">
        <v>1.7771550770592139E-2</v>
      </c>
      <c r="D186" s="50">
        <v>386</v>
      </c>
      <c r="E186" s="48">
        <v>1.565097514495398E-2</v>
      </c>
      <c r="F186" s="49">
        <v>113.54915975521085</v>
      </c>
      <c r="G186" s="45">
        <v>13.549159755210852</v>
      </c>
    </row>
    <row r="187" spans="1:7" x14ac:dyDescent="0.35">
      <c r="A187" s="70" t="s">
        <v>471</v>
      </c>
      <c r="B187" s="67">
        <v>178</v>
      </c>
      <c r="C187" s="48">
        <v>1.312587567288548E-2</v>
      </c>
      <c r="D187" s="50">
        <v>428</v>
      </c>
      <c r="E187" s="48">
        <v>1.7353930989741719E-2</v>
      </c>
      <c r="F187" s="49">
        <v>75.636325168311828</v>
      </c>
      <c r="G187" s="45">
        <v>-24.363674831688172</v>
      </c>
    </row>
    <row r="188" spans="1:7" x14ac:dyDescent="0.35">
      <c r="A188" s="62" t="s">
        <v>467</v>
      </c>
      <c r="B188" s="226">
        <v>13561</v>
      </c>
      <c r="C188" s="225"/>
      <c r="D188" s="224">
        <v>24663</v>
      </c>
      <c r="E188" s="225"/>
      <c r="F188" s="58"/>
      <c r="G188" s="46"/>
    </row>
    <row r="189" spans="1:7" x14ac:dyDescent="0.35">
      <c r="A189" s="11"/>
      <c r="B189" s="11"/>
      <c r="C189" s="209"/>
      <c r="D189" s="11"/>
      <c r="E189" s="11"/>
      <c r="F189" s="11"/>
    </row>
    <row r="190" spans="1:7" x14ac:dyDescent="0.35">
      <c r="A190" s="11" t="s">
        <v>501</v>
      </c>
      <c r="B190" s="11"/>
      <c r="C190" s="209"/>
      <c r="D190" s="11"/>
      <c r="E190" s="11"/>
      <c r="F190" s="11"/>
      <c r="G190" s="56"/>
    </row>
    <row r="191" spans="1:7" ht="40" customHeight="1" x14ac:dyDescent="0.35">
      <c r="A191" s="249" t="s">
        <v>495</v>
      </c>
      <c r="B191" s="227" t="s">
        <v>890</v>
      </c>
      <c r="C191" s="243" t="s">
        <v>890</v>
      </c>
      <c r="D191" s="227" t="s">
        <v>891</v>
      </c>
      <c r="E191" s="228" t="s">
        <v>891</v>
      </c>
      <c r="F191" s="235" t="s">
        <v>1</v>
      </c>
      <c r="G191" s="236" t="s">
        <v>1</v>
      </c>
    </row>
    <row r="192" spans="1:7" x14ac:dyDescent="0.35">
      <c r="A192" s="239" t="s">
        <v>866</v>
      </c>
      <c r="B192" s="35" t="s">
        <v>73</v>
      </c>
      <c r="C192" s="36" t="s">
        <v>74</v>
      </c>
      <c r="D192" s="34" t="s">
        <v>73</v>
      </c>
      <c r="E192" s="36" t="s">
        <v>74</v>
      </c>
      <c r="F192" s="237" t="s">
        <v>864</v>
      </c>
      <c r="G192" s="238" t="s">
        <v>865</v>
      </c>
    </row>
    <row r="193" spans="1:7" x14ac:dyDescent="0.35">
      <c r="A193" s="70" t="s">
        <v>496</v>
      </c>
      <c r="B193" s="67">
        <v>45695</v>
      </c>
      <c r="C193" s="48">
        <v>0.51277015957088667</v>
      </c>
      <c r="D193" s="67">
        <v>343834</v>
      </c>
      <c r="E193" s="48">
        <v>0.652612278830349</v>
      </c>
      <c r="F193" s="49">
        <v>78.571944813834065</v>
      </c>
      <c r="G193" s="45">
        <v>-21.428055186165935</v>
      </c>
    </row>
    <row r="194" spans="1:7" x14ac:dyDescent="0.35">
      <c r="A194" s="70" t="s">
        <v>497</v>
      </c>
      <c r="B194" s="67">
        <v>260</v>
      </c>
      <c r="C194" s="48">
        <v>2.9176111497632245E-3</v>
      </c>
      <c r="D194" s="67">
        <v>1801</v>
      </c>
      <c r="E194" s="48">
        <v>3.4183783865861391E-3</v>
      </c>
      <c r="F194" s="49">
        <v>85.350737098387157</v>
      </c>
      <c r="G194" s="45">
        <v>-14.649262901612843</v>
      </c>
    </row>
    <row r="195" spans="1:7" x14ac:dyDescent="0.35">
      <c r="A195" s="78" t="s">
        <v>498</v>
      </c>
      <c r="B195" s="67">
        <v>14612</v>
      </c>
      <c r="C195" s="48">
        <v>0.16396974661669322</v>
      </c>
      <c r="D195" s="67">
        <v>87289</v>
      </c>
      <c r="E195" s="48">
        <v>0.16567841809367989</v>
      </c>
      <c r="F195" s="49">
        <v>98.968681922095286</v>
      </c>
      <c r="G195" s="45">
        <v>-1.0313180779047144</v>
      </c>
    </row>
    <row r="196" spans="1:7" x14ac:dyDescent="0.35">
      <c r="A196" s="78" t="s">
        <v>499</v>
      </c>
      <c r="B196" s="67">
        <v>28301</v>
      </c>
      <c r="C196" s="48">
        <v>0.31758197365172702</v>
      </c>
      <c r="D196" s="67">
        <v>93129</v>
      </c>
      <c r="E196" s="48">
        <v>0.17676299875867882</v>
      </c>
      <c r="F196" s="49">
        <v>179.66541407531659</v>
      </c>
      <c r="G196" s="45">
        <v>79.66541407531659</v>
      </c>
    </row>
    <row r="197" spans="1:7" x14ac:dyDescent="0.35">
      <c r="A197" s="78" t="s">
        <v>500</v>
      </c>
      <c r="B197" s="67">
        <v>246</v>
      </c>
      <c r="C197" s="48">
        <v>2.7605090109298204E-3</v>
      </c>
      <c r="D197" s="67">
        <v>805</v>
      </c>
      <c r="E197" s="48">
        <v>1.5279259307061865E-3</v>
      </c>
      <c r="F197" s="49">
        <v>180.67034241993335</v>
      </c>
      <c r="G197" s="45">
        <v>80.670342419933348</v>
      </c>
    </row>
    <row r="198" spans="1:7" x14ac:dyDescent="0.35">
      <c r="A198" s="62" t="s">
        <v>207</v>
      </c>
      <c r="B198" s="226">
        <v>89114</v>
      </c>
      <c r="C198" s="225"/>
      <c r="D198" s="224">
        <v>526858</v>
      </c>
      <c r="E198" s="225"/>
      <c r="F198" s="58"/>
      <c r="G198" s="46"/>
    </row>
    <row r="199" spans="1:7" x14ac:dyDescent="0.35">
      <c r="A199" s="14"/>
      <c r="B199" s="2"/>
      <c r="C199" s="211"/>
    </row>
    <row r="200" spans="1:7" x14ac:dyDescent="0.35">
      <c r="A200" s="250" t="s">
        <v>493</v>
      </c>
      <c r="B200" s="11"/>
      <c r="C200" s="209"/>
      <c r="D200" s="11"/>
      <c r="E200" s="11"/>
      <c r="F200" s="11"/>
      <c r="G200" s="56"/>
    </row>
    <row r="201" spans="1:7" ht="40" customHeight="1" x14ac:dyDescent="0.35">
      <c r="A201" s="249" t="s">
        <v>493</v>
      </c>
      <c r="B201" s="227" t="s">
        <v>890</v>
      </c>
      <c r="C201" s="243" t="s">
        <v>890</v>
      </c>
      <c r="D201" s="227" t="s">
        <v>891</v>
      </c>
      <c r="E201" s="228" t="s">
        <v>891</v>
      </c>
      <c r="F201" s="235" t="s">
        <v>1</v>
      </c>
      <c r="G201" s="236" t="s">
        <v>1</v>
      </c>
    </row>
    <row r="202" spans="1:7" x14ac:dyDescent="0.35">
      <c r="A202" s="239" t="s">
        <v>866</v>
      </c>
      <c r="B202" s="35" t="s">
        <v>73</v>
      </c>
      <c r="C202" s="36" t="s">
        <v>74</v>
      </c>
      <c r="D202" s="34" t="s">
        <v>73</v>
      </c>
      <c r="E202" s="36" t="s">
        <v>74</v>
      </c>
      <c r="F202" s="237" t="s">
        <v>864</v>
      </c>
      <c r="G202" s="238" t="s">
        <v>865</v>
      </c>
    </row>
    <row r="203" spans="1:7" x14ac:dyDescent="0.35">
      <c r="A203" s="70" t="s">
        <v>390</v>
      </c>
      <c r="B203" s="67">
        <v>26627</v>
      </c>
      <c r="C203" s="48">
        <v>0.29879704647978994</v>
      </c>
      <c r="D203" s="67">
        <v>112169</v>
      </c>
      <c r="E203" s="48">
        <v>0.2129037891024631</v>
      </c>
      <c r="F203" s="49">
        <v>140.34369596681506</v>
      </c>
      <c r="G203" s="45">
        <v>40.343695966815062</v>
      </c>
    </row>
    <row r="204" spans="1:7" x14ac:dyDescent="0.35">
      <c r="A204" s="70" t="s">
        <v>388</v>
      </c>
      <c r="B204" s="67">
        <v>38912</v>
      </c>
      <c r="C204" s="48">
        <v>0.43665417330610229</v>
      </c>
      <c r="D204" s="67">
        <v>221139</v>
      </c>
      <c r="E204" s="42">
        <v>0.4197356757957153</v>
      </c>
      <c r="F204" s="49">
        <v>104.03075041889487</v>
      </c>
      <c r="G204" s="45">
        <v>4.0307504188948684</v>
      </c>
    </row>
    <row r="205" spans="1:7" x14ac:dyDescent="0.35">
      <c r="A205" s="78" t="s">
        <v>389</v>
      </c>
      <c r="B205" s="67">
        <v>18425</v>
      </c>
      <c r="C205" s="48">
        <v>0.20675763628610544</v>
      </c>
      <c r="D205" s="67">
        <v>144816</v>
      </c>
      <c r="E205" s="42">
        <v>0.27486984035395073</v>
      </c>
      <c r="F205" s="49">
        <v>75.220197319525127</v>
      </c>
      <c r="G205" s="45">
        <v>-24.779802680474873</v>
      </c>
    </row>
    <row r="206" spans="1:7" x14ac:dyDescent="0.35">
      <c r="A206" s="78" t="s">
        <v>494</v>
      </c>
      <c r="B206" s="67">
        <v>5150</v>
      </c>
      <c r="C206" s="48">
        <v>5.7791143928002331E-2</v>
      </c>
      <c r="D206" s="67">
        <v>48729</v>
      </c>
      <c r="E206" s="42">
        <v>9.2490694747870847E-2</v>
      </c>
      <c r="F206" s="49">
        <v>62.483197996880321</v>
      </c>
      <c r="G206" s="45">
        <v>-37.516802003119679</v>
      </c>
    </row>
    <row r="207" spans="1:7" x14ac:dyDescent="0.35">
      <c r="A207" s="62" t="s">
        <v>207</v>
      </c>
      <c r="B207" s="226">
        <v>89114</v>
      </c>
      <c r="C207" s="225"/>
      <c r="D207" s="224">
        <v>526853</v>
      </c>
      <c r="E207" s="225"/>
      <c r="F207" s="58"/>
      <c r="G207" s="46"/>
    </row>
    <row r="208" spans="1:7" x14ac:dyDescent="0.35">
      <c r="A208" s="14"/>
      <c r="B208" s="2"/>
      <c r="C208" s="211"/>
    </row>
    <row r="209" spans="1:7" x14ac:dyDescent="0.35">
      <c r="A209" s="11"/>
      <c r="B209" s="11"/>
      <c r="C209" s="209"/>
      <c r="D209" s="11"/>
      <c r="E209" s="11"/>
      <c r="F209" s="11"/>
    </row>
    <row r="210" spans="1:7" ht="14.5" x14ac:dyDescent="0.35">
      <c r="A210" s="17" t="s">
        <v>457</v>
      </c>
      <c r="B210" s="9"/>
      <c r="C210" s="210"/>
      <c r="D210" s="9"/>
      <c r="E210" s="9"/>
      <c r="F210" s="9"/>
    </row>
    <row r="211" spans="1:7" x14ac:dyDescent="0.35">
      <c r="A211" s="11" t="s">
        <v>226</v>
      </c>
      <c r="B211" s="11"/>
      <c r="C211" s="209"/>
      <c r="D211" s="11"/>
      <c r="E211" s="11"/>
      <c r="F211" s="11"/>
      <c r="G211" s="56"/>
    </row>
    <row r="212" spans="1:7" ht="40" customHeight="1" x14ac:dyDescent="0.35">
      <c r="A212" s="249" t="s">
        <v>226</v>
      </c>
      <c r="B212" s="227" t="s">
        <v>890</v>
      </c>
      <c r="C212" s="243" t="s">
        <v>890</v>
      </c>
      <c r="D212" s="227" t="s">
        <v>891</v>
      </c>
      <c r="E212" s="228" t="s">
        <v>891</v>
      </c>
      <c r="F212" s="235" t="s">
        <v>1</v>
      </c>
      <c r="G212" s="236" t="s">
        <v>1</v>
      </c>
    </row>
    <row r="213" spans="1:7" x14ac:dyDescent="0.35">
      <c r="A213" s="239" t="s">
        <v>866</v>
      </c>
      <c r="B213" s="35" t="s">
        <v>73</v>
      </c>
      <c r="C213" s="36" t="s">
        <v>74</v>
      </c>
      <c r="D213" s="34" t="s">
        <v>73</v>
      </c>
      <c r="E213" s="36" t="s">
        <v>74</v>
      </c>
      <c r="F213" s="237" t="s">
        <v>864</v>
      </c>
      <c r="G213" s="238" t="s">
        <v>865</v>
      </c>
    </row>
    <row r="214" spans="1:7" x14ac:dyDescent="0.35">
      <c r="A214" s="70" t="s">
        <v>227</v>
      </c>
      <c r="B214" s="67">
        <v>112429</v>
      </c>
      <c r="C214" s="48">
        <v>0.50506053323150868</v>
      </c>
      <c r="D214" s="50">
        <v>585117</v>
      </c>
      <c r="E214" s="48">
        <v>0.46969167896852249</v>
      </c>
      <c r="F214" s="49">
        <v>107.53022798714656</v>
      </c>
      <c r="G214" s="45">
        <v>7.5302279871465601</v>
      </c>
    </row>
    <row r="215" spans="1:7" x14ac:dyDescent="0.35">
      <c r="A215" s="70" t="s">
        <v>228</v>
      </c>
      <c r="B215" s="67">
        <v>71362</v>
      </c>
      <c r="C215" s="48">
        <v>0.32057680645088832</v>
      </c>
      <c r="D215" s="50">
        <v>402582</v>
      </c>
      <c r="E215" s="42">
        <v>0.3231651370623409</v>
      </c>
      <c r="F215" s="49">
        <v>99.19906873774157</v>
      </c>
      <c r="G215" s="45">
        <v>-0.80093126225843037</v>
      </c>
    </row>
    <row r="216" spans="1:7" x14ac:dyDescent="0.35">
      <c r="A216" s="78" t="s">
        <v>229</v>
      </c>
      <c r="B216" s="67">
        <v>26331</v>
      </c>
      <c r="C216" s="48">
        <v>0.11828575279081782</v>
      </c>
      <c r="D216" s="50">
        <v>172793</v>
      </c>
      <c r="E216" s="42">
        <v>0.13870633443227237</v>
      </c>
      <c r="F216" s="49">
        <v>85.277830515068857</v>
      </c>
      <c r="G216" s="45">
        <v>-14.722169484931143</v>
      </c>
    </row>
    <row r="217" spans="1:7" x14ac:dyDescent="0.35">
      <c r="A217" s="78" t="s">
        <v>230</v>
      </c>
      <c r="B217" s="67">
        <v>9428</v>
      </c>
      <c r="C217" s="48">
        <v>4.2353046876754792E-2</v>
      </c>
      <c r="D217" s="50">
        <v>64932</v>
      </c>
      <c r="E217" s="42">
        <v>5.2122943101608914E-2</v>
      </c>
      <c r="F217" s="49">
        <v>81.25605416062443</v>
      </c>
      <c r="G217" s="45">
        <v>-18.74394583937557</v>
      </c>
    </row>
    <row r="218" spans="1:7" x14ac:dyDescent="0.35">
      <c r="A218" s="71" t="s">
        <v>231</v>
      </c>
      <c r="B218" s="69">
        <v>3055</v>
      </c>
      <c r="C218" s="48">
        <v>1.3723860650030322E-2</v>
      </c>
      <c r="D218" s="55">
        <v>20434</v>
      </c>
      <c r="E218" s="53">
        <v>1.6403009599862572E-2</v>
      </c>
      <c r="F218" s="49">
        <v>83.666723270986225</v>
      </c>
      <c r="G218" s="45">
        <v>-16.333276729013775</v>
      </c>
    </row>
    <row r="219" spans="1:7" x14ac:dyDescent="0.35">
      <c r="A219" s="62" t="s">
        <v>2</v>
      </c>
      <c r="B219" s="226">
        <v>222605</v>
      </c>
      <c r="C219" s="225"/>
      <c r="D219" s="224">
        <v>1245858</v>
      </c>
      <c r="E219" s="225"/>
      <c r="F219" s="58"/>
      <c r="G219" s="46"/>
    </row>
    <row r="220" spans="1:7" x14ac:dyDescent="0.35">
      <c r="A220" s="14"/>
      <c r="B220" s="2"/>
      <c r="C220" s="211"/>
    </row>
    <row r="221" spans="1:7" x14ac:dyDescent="0.35">
      <c r="A221" s="11" t="s">
        <v>462</v>
      </c>
      <c r="B221" s="11"/>
      <c r="C221" s="209"/>
      <c r="D221" s="11"/>
      <c r="E221" s="11"/>
      <c r="F221" s="11"/>
    </row>
    <row r="222" spans="1:7" ht="40" customHeight="1" x14ac:dyDescent="0.35">
      <c r="A222" s="249" t="s">
        <v>373</v>
      </c>
      <c r="B222" s="227" t="s">
        <v>890</v>
      </c>
      <c r="C222" s="243" t="s">
        <v>890</v>
      </c>
      <c r="D222" s="227" t="s">
        <v>891</v>
      </c>
      <c r="E222" s="228" t="s">
        <v>891</v>
      </c>
      <c r="F222" s="235" t="s">
        <v>1</v>
      </c>
      <c r="G222" s="236" t="s">
        <v>1</v>
      </c>
    </row>
    <row r="223" spans="1:7" x14ac:dyDescent="0.35">
      <c r="A223" s="239" t="s">
        <v>866</v>
      </c>
      <c r="B223" s="35" t="s">
        <v>73</v>
      </c>
      <c r="C223" s="36" t="s">
        <v>74</v>
      </c>
      <c r="D223" s="34" t="s">
        <v>73</v>
      </c>
      <c r="E223" s="36" t="s">
        <v>74</v>
      </c>
      <c r="F223" s="237" t="s">
        <v>864</v>
      </c>
      <c r="G223" s="238" t="s">
        <v>865</v>
      </c>
    </row>
    <row r="224" spans="1:7" ht="27" x14ac:dyDescent="0.35">
      <c r="A224" s="70" t="s">
        <v>374</v>
      </c>
      <c r="B224" s="67">
        <v>59265</v>
      </c>
      <c r="C224" s="48">
        <v>0.6643760369490157</v>
      </c>
      <c r="D224" s="50">
        <v>329300</v>
      </c>
      <c r="E224" s="48">
        <v>0.62506643584954369</v>
      </c>
      <c r="F224" s="49">
        <v>106.28886768588772</v>
      </c>
      <c r="G224" s="45">
        <v>6.2888676858877233</v>
      </c>
    </row>
    <row r="225" spans="1:7" ht="27" x14ac:dyDescent="0.35">
      <c r="A225" s="70" t="s">
        <v>375</v>
      </c>
      <c r="B225" s="67">
        <v>23901</v>
      </c>
      <c r="C225" s="42">
        <v>0.26793641540738083</v>
      </c>
      <c r="D225" s="50">
        <v>153254</v>
      </c>
      <c r="E225" s="42">
        <v>0.29090170531334941</v>
      </c>
      <c r="F225" s="49">
        <v>92.105481168894784</v>
      </c>
      <c r="G225" s="45">
        <v>-7.8945188311052163</v>
      </c>
    </row>
    <row r="226" spans="1:7" ht="27" x14ac:dyDescent="0.35">
      <c r="A226" s="78" t="s">
        <v>376</v>
      </c>
      <c r="B226" s="79">
        <v>6038</v>
      </c>
      <c r="C226" s="42">
        <v>6.7687547643603421E-2</v>
      </c>
      <c r="D226" s="50">
        <v>44270</v>
      </c>
      <c r="E226" s="42">
        <v>8.4031858837106885E-2</v>
      </c>
      <c r="F226" s="49">
        <v>80.54986356402469</v>
      </c>
      <c r="G226" s="45">
        <v>-19.45013643597531</v>
      </c>
    </row>
    <row r="227" spans="1:7" x14ac:dyDescent="0.35">
      <c r="A227" s="62" t="s">
        <v>207</v>
      </c>
      <c r="B227" s="226">
        <v>89204</v>
      </c>
      <c r="C227" s="225"/>
      <c r="D227" s="224">
        <v>526824</v>
      </c>
      <c r="E227" s="225"/>
      <c r="F227" s="58"/>
      <c r="G227" s="46"/>
    </row>
    <row r="228" spans="1:7" x14ac:dyDescent="0.35">
      <c r="A228" s="14"/>
      <c r="B228" s="2"/>
      <c r="C228" s="211"/>
    </row>
    <row r="229" spans="1:7" x14ac:dyDescent="0.35">
      <c r="A229" s="11" t="s">
        <v>463</v>
      </c>
      <c r="B229" s="2"/>
      <c r="C229" s="211"/>
    </row>
    <row r="230" spans="1:7" ht="40" customHeight="1" x14ac:dyDescent="0.35">
      <c r="A230" s="249" t="s">
        <v>232</v>
      </c>
      <c r="B230" s="227" t="s">
        <v>890</v>
      </c>
      <c r="C230" s="243" t="s">
        <v>890</v>
      </c>
      <c r="D230" s="227" t="s">
        <v>891</v>
      </c>
      <c r="E230" s="228" t="s">
        <v>891</v>
      </c>
      <c r="F230" s="235" t="s">
        <v>1</v>
      </c>
      <c r="G230" s="236" t="s">
        <v>1</v>
      </c>
    </row>
    <row r="231" spans="1:7" x14ac:dyDescent="0.35">
      <c r="A231" s="239" t="s">
        <v>866</v>
      </c>
      <c r="B231" s="35" t="s">
        <v>73</v>
      </c>
      <c r="C231" s="36" t="s">
        <v>74</v>
      </c>
      <c r="D231" s="34" t="s">
        <v>73</v>
      </c>
      <c r="E231" s="36" t="s">
        <v>74</v>
      </c>
      <c r="F231" s="237" t="s">
        <v>864</v>
      </c>
      <c r="G231" s="238" t="s">
        <v>865</v>
      </c>
    </row>
    <row r="232" spans="1:7" x14ac:dyDescent="0.35">
      <c r="A232" s="70" t="s">
        <v>233</v>
      </c>
      <c r="B232" s="67">
        <v>195884</v>
      </c>
      <c r="C232" s="48">
        <v>0.92477940864047736</v>
      </c>
      <c r="D232" s="50">
        <v>1060462</v>
      </c>
      <c r="E232" s="48">
        <v>0.89899068678398186</v>
      </c>
      <c r="F232" s="49">
        <v>102.868630591575</v>
      </c>
      <c r="G232" s="45">
        <v>2.8686305915749983</v>
      </c>
    </row>
    <row r="233" spans="1:7" x14ac:dyDescent="0.35">
      <c r="A233" s="70" t="s">
        <v>234</v>
      </c>
      <c r="B233" s="67">
        <v>7885</v>
      </c>
      <c r="C233" s="42">
        <v>3.7225529584499831E-2</v>
      </c>
      <c r="D233" s="50">
        <v>53615</v>
      </c>
      <c r="E233" s="42">
        <v>4.5451308648422284E-2</v>
      </c>
      <c r="F233" s="49">
        <v>81.901997305399945</v>
      </c>
      <c r="G233" s="45">
        <v>-18.098002694600055</v>
      </c>
    </row>
    <row r="234" spans="1:7" x14ac:dyDescent="0.35">
      <c r="A234" s="105" t="s">
        <v>235</v>
      </c>
      <c r="B234" s="79">
        <v>5564</v>
      </c>
      <c r="C234" s="42">
        <v>2.6267957718219027E-2</v>
      </c>
      <c r="D234" s="50">
        <v>37179</v>
      </c>
      <c r="E234" s="42">
        <v>3.1517937223532445E-2</v>
      </c>
      <c r="F234" s="49">
        <v>83.342883552056861</v>
      </c>
      <c r="G234" s="45">
        <v>-16.657116447943139</v>
      </c>
    </row>
    <row r="235" spans="1:7" x14ac:dyDescent="0.35">
      <c r="A235" s="105" t="s">
        <v>236</v>
      </c>
      <c r="B235" s="79">
        <v>2321</v>
      </c>
      <c r="C235" s="42">
        <v>1.09575718662808E-2</v>
      </c>
      <c r="D235" s="50">
        <v>16436</v>
      </c>
      <c r="E235" s="42">
        <v>1.3933371424889837E-2</v>
      </c>
      <c r="F235" s="49">
        <v>78.642645287606229</v>
      </c>
      <c r="G235" s="45">
        <v>-21.357354712393771</v>
      </c>
    </row>
    <row r="236" spans="1:7" x14ac:dyDescent="0.35">
      <c r="A236" s="78" t="s">
        <v>237</v>
      </c>
      <c r="B236" s="79">
        <v>3454</v>
      </c>
      <c r="C236" s="42">
        <v>1.6306528748872846E-2</v>
      </c>
      <c r="D236" s="50">
        <v>25562</v>
      </c>
      <c r="E236" s="42">
        <v>2.1669800460150525E-2</v>
      </c>
      <c r="F236" s="49">
        <v>75.250018009439373</v>
      </c>
      <c r="G236" s="45">
        <v>-24.749981990560627</v>
      </c>
    </row>
    <row r="237" spans="1:7" x14ac:dyDescent="0.35">
      <c r="A237" s="105" t="s">
        <v>238</v>
      </c>
      <c r="B237" s="79">
        <v>1705</v>
      </c>
      <c r="C237" s="42">
        <v>8.0494011339977429E-3</v>
      </c>
      <c r="D237" s="50">
        <v>12108</v>
      </c>
      <c r="E237" s="42">
        <v>1.0264374617459609E-2</v>
      </c>
      <c r="F237" s="49">
        <v>78.420765355794629</v>
      </c>
      <c r="G237" s="45">
        <v>-21.579234644205371</v>
      </c>
    </row>
    <row r="238" spans="1:7" x14ac:dyDescent="0.35">
      <c r="A238" s="105" t="s">
        <v>239</v>
      </c>
      <c r="B238" s="79">
        <v>1749</v>
      </c>
      <c r="C238" s="42">
        <v>8.2571276148751052E-3</v>
      </c>
      <c r="D238" s="50">
        <v>13454</v>
      </c>
      <c r="E238" s="42">
        <v>1.1405425842690914E-2</v>
      </c>
      <c r="F238" s="49">
        <v>72.396486801644727</v>
      </c>
      <c r="G238" s="45">
        <v>-27.603513198355273</v>
      </c>
    </row>
    <row r="239" spans="1:7" x14ac:dyDescent="0.35">
      <c r="A239" s="71" t="s">
        <v>240</v>
      </c>
      <c r="B239" s="69">
        <v>4594</v>
      </c>
      <c r="C239" s="53">
        <v>2.1688533026149932E-2</v>
      </c>
      <c r="D239" s="55">
        <v>39975</v>
      </c>
      <c r="E239" s="53">
        <v>3.3888204107445315E-2</v>
      </c>
      <c r="F239" s="49">
        <v>64.000243144737539</v>
      </c>
      <c r="G239" s="45">
        <v>-35.999756855262461</v>
      </c>
    </row>
    <row r="240" spans="1:7" x14ac:dyDescent="0.35">
      <c r="A240" s="62" t="s">
        <v>2</v>
      </c>
      <c r="B240" s="226">
        <v>211817</v>
      </c>
      <c r="C240" s="225"/>
      <c r="D240" s="224">
        <v>1179614</v>
      </c>
      <c r="E240" s="225"/>
      <c r="F240" s="58"/>
      <c r="G240" s="46"/>
    </row>
    <row r="241" spans="1:7" x14ac:dyDescent="0.35">
      <c r="A241" s="14"/>
      <c r="B241" s="2"/>
      <c r="C241" s="211"/>
    </row>
    <row r="242" spans="1:7" x14ac:dyDescent="0.35">
      <c r="A242" s="57"/>
      <c r="B242" s="57"/>
      <c r="C242" s="216"/>
      <c r="D242" s="57"/>
      <c r="E242" s="57"/>
      <c r="F242" s="57"/>
      <c r="G242" s="57"/>
    </row>
    <row r="243" spans="1:7" ht="14.5" x14ac:dyDescent="0.35">
      <c r="A243" s="81" t="s">
        <v>826</v>
      </c>
      <c r="B243" s="82"/>
      <c r="C243" s="213"/>
      <c r="D243" s="82"/>
      <c r="E243" s="82"/>
      <c r="F243" s="82"/>
      <c r="G243" s="83"/>
    </row>
    <row r="244" spans="1:7" x14ac:dyDescent="0.35">
      <c r="A244" s="141" t="s">
        <v>464</v>
      </c>
      <c r="B244" s="82"/>
      <c r="C244" s="213"/>
      <c r="D244" s="82"/>
      <c r="E244" s="82"/>
      <c r="F244" s="82"/>
      <c r="G244" s="83"/>
    </row>
    <row r="245" spans="1:7" ht="40" customHeight="1" x14ac:dyDescent="0.35">
      <c r="A245" s="244" t="s">
        <v>317</v>
      </c>
      <c r="B245" s="227" t="s">
        <v>890</v>
      </c>
      <c r="C245" s="243" t="s">
        <v>890</v>
      </c>
      <c r="D245" s="227" t="s">
        <v>891</v>
      </c>
      <c r="E245" s="228" t="s">
        <v>891</v>
      </c>
      <c r="F245" s="235" t="s">
        <v>1</v>
      </c>
      <c r="G245" s="236" t="s">
        <v>1</v>
      </c>
    </row>
    <row r="246" spans="1:7" x14ac:dyDescent="0.35">
      <c r="A246" s="239" t="s">
        <v>866</v>
      </c>
      <c r="B246" s="35" t="s">
        <v>73</v>
      </c>
      <c r="C246" s="36" t="s">
        <v>74</v>
      </c>
      <c r="D246" s="34" t="s">
        <v>73</v>
      </c>
      <c r="E246" s="36" t="s">
        <v>74</v>
      </c>
      <c r="F246" s="237" t="s">
        <v>864</v>
      </c>
      <c r="G246" s="238" t="s">
        <v>865</v>
      </c>
    </row>
    <row r="247" spans="1:7" x14ac:dyDescent="0.35">
      <c r="A247" s="84" t="s">
        <v>897</v>
      </c>
      <c r="B247" s="50">
        <v>191986</v>
      </c>
      <c r="C247" s="214">
        <v>0.88778832103286909</v>
      </c>
      <c r="D247" s="41">
        <v>1154898</v>
      </c>
      <c r="E247" s="42">
        <v>0.95646499070366431</v>
      </c>
      <c r="F247" s="49">
        <v>92.819740362867819</v>
      </c>
      <c r="G247" s="45">
        <v>-7.1802596371321812</v>
      </c>
    </row>
    <row r="248" spans="1:7" x14ac:dyDescent="0.35">
      <c r="A248" s="84" t="s">
        <v>898</v>
      </c>
      <c r="B248" s="50">
        <v>24266</v>
      </c>
      <c r="C248" s="214">
        <v>0.11221167896713094</v>
      </c>
      <c r="D248" s="41">
        <v>52567</v>
      </c>
      <c r="E248" s="42">
        <v>4.3535009296335712E-2</v>
      </c>
      <c r="F248" s="49">
        <v>257.75044218625135</v>
      </c>
      <c r="G248" s="45">
        <v>157.75044218625135</v>
      </c>
    </row>
    <row r="249" spans="1:7" x14ac:dyDescent="0.35">
      <c r="A249" s="107" t="s">
        <v>899</v>
      </c>
      <c r="B249" s="50">
        <v>10548</v>
      </c>
      <c r="C249" s="214">
        <v>4.8776427501248547E-2</v>
      </c>
      <c r="D249" s="41">
        <v>23193</v>
      </c>
      <c r="E249" s="42">
        <v>1.9208010170067041E-2</v>
      </c>
      <c r="F249" s="49">
        <v>253.93795124733788</v>
      </c>
      <c r="G249" s="45">
        <v>153.93795124733788</v>
      </c>
    </row>
    <row r="250" spans="1:7" x14ac:dyDescent="0.35">
      <c r="A250" s="107" t="s">
        <v>900</v>
      </c>
      <c r="B250" s="50">
        <v>8454</v>
      </c>
      <c r="C250" s="214">
        <v>3.9093280062149717E-2</v>
      </c>
      <c r="D250" s="41">
        <v>18251</v>
      </c>
      <c r="E250" s="42">
        <v>1.5115137912900168E-2</v>
      </c>
      <c r="F250" s="49">
        <v>258.63660846114516</v>
      </c>
      <c r="G250" s="45">
        <v>158.63660846114516</v>
      </c>
    </row>
    <row r="251" spans="1:7" x14ac:dyDescent="0.35">
      <c r="A251" s="107" t="s">
        <v>901</v>
      </c>
      <c r="B251" s="50">
        <v>4453</v>
      </c>
      <c r="C251" s="214">
        <v>2.0591717070824779E-2</v>
      </c>
      <c r="D251" s="41">
        <v>9353</v>
      </c>
      <c r="E251" s="42">
        <v>7.7459802147474251E-3</v>
      </c>
      <c r="F251" s="49">
        <v>265.83746020446324</v>
      </c>
      <c r="G251" s="45">
        <v>165.83746020446324</v>
      </c>
    </row>
    <row r="252" spans="1:7" x14ac:dyDescent="0.35">
      <c r="A252" s="107" t="s">
        <v>902</v>
      </c>
      <c r="B252" s="50">
        <v>811</v>
      </c>
      <c r="C252" s="214">
        <v>3.7502543329079037E-3</v>
      </c>
      <c r="D252" s="86">
        <v>1770</v>
      </c>
      <c r="E252" s="53">
        <v>1.4658809986210781E-3</v>
      </c>
      <c r="F252" s="49">
        <v>255.83620610647694</v>
      </c>
      <c r="G252" s="45">
        <v>155.83620610647694</v>
      </c>
    </row>
    <row r="253" spans="1:7" x14ac:dyDescent="0.35">
      <c r="A253" s="62" t="s">
        <v>259</v>
      </c>
      <c r="B253" s="226">
        <v>216252</v>
      </c>
      <c r="C253" s="225"/>
      <c r="D253" s="224">
        <v>1207465</v>
      </c>
      <c r="E253" s="225"/>
      <c r="F253" s="58"/>
      <c r="G253" s="46"/>
    </row>
    <row r="254" spans="1:7" ht="15" customHeight="1" x14ac:dyDescent="0.35">
      <c r="A254" s="88"/>
      <c r="B254" s="89"/>
      <c r="C254" s="217"/>
      <c r="D254" s="89"/>
      <c r="E254" s="89"/>
      <c r="F254" s="89"/>
      <c r="G254" s="83"/>
    </row>
    <row r="255" spans="1:7" ht="16.5" customHeight="1" x14ac:dyDescent="0.35">
      <c r="A255" s="141" t="s">
        <v>306</v>
      </c>
      <c r="B255" s="82"/>
      <c r="C255" s="213"/>
      <c r="D255" s="82"/>
      <c r="E255" s="82"/>
      <c r="F255" s="82"/>
      <c r="G255" s="163" t="s">
        <v>903</v>
      </c>
    </row>
    <row r="256" spans="1:7" ht="40" customHeight="1" x14ac:dyDescent="0.35">
      <c r="A256" s="249" t="s">
        <v>307</v>
      </c>
      <c r="B256" s="227" t="s">
        <v>890</v>
      </c>
      <c r="C256" s="243" t="s">
        <v>890</v>
      </c>
      <c r="D256" s="227" t="s">
        <v>891</v>
      </c>
      <c r="E256" s="228" t="s">
        <v>891</v>
      </c>
      <c r="F256" s="235" t="s">
        <v>1</v>
      </c>
      <c r="G256" s="236" t="s">
        <v>1</v>
      </c>
    </row>
    <row r="257" spans="1:7" ht="15" customHeight="1" x14ac:dyDescent="0.35">
      <c r="A257" s="239" t="s">
        <v>866</v>
      </c>
      <c r="B257" s="35" t="s">
        <v>73</v>
      </c>
      <c r="C257" s="36" t="s">
        <v>74</v>
      </c>
      <c r="D257" s="34" t="s">
        <v>73</v>
      </c>
      <c r="E257" s="36" t="s">
        <v>74</v>
      </c>
      <c r="F257" s="237" t="s">
        <v>864</v>
      </c>
      <c r="G257" s="238" t="s">
        <v>865</v>
      </c>
    </row>
    <row r="258" spans="1:7" x14ac:dyDescent="0.35">
      <c r="A258" s="84" t="s">
        <v>308</v>
      </c>
      <c r="B258" s="50">
        <v>6479</v>
      </c>
      <c r="C258" s="214">
        <v>2.9956676330110645E-2</v>
      </c>
      <c r="D258" s="41">
        <v>38727</v>
      </c>
      <c r="E258" s="42">
        <v>3.2077123586422368E-2</v>
      </c>
      <c r="F258" s="49">
        <v>93.389534287266116</v>
      </c>
      <c r="G258" s="45">
        <v>-6.6104657127338839</v>
      </c>
    </row>
    <row r="259" spans="1:7" x14ac:dyDescent="0.35">
      <c r="A259" s="84" t="s">
        <v>309</v>
      </c>
      <c r="B259" s="50">
        <v>20763</v>
      </c>
      <c r="C259" s="214">
        <v>9.6000998709999577E-2</v>
      </c>
      <c r="D259" s="41">
        <v>104122</v>
      </c>
      <c r="E259" s="42">
        <v>8.624304134235726E-2</v>
      </c>
      <c r="F259" s="49">
        <v>111.31448661336785</v>
      </c>
      <c r="G259" s="45">
        <v>11.314486613367848</v>
      </c>
    </row>
    <row r="260" spans="1:7" x14ac:dyDescent="0.35">
      <c r="A260" s="84" t="s">
        <v>310</v>
      </c>
      <c r="B260" s="50">
        <v>2549</v>
      </c>
      <c r="C260" s="214">
        <v>1.1785702726570773E-2</v>
      </c>
      <c r="D260" s="41">
        <v>15181</v>
      </c>
      <c r="E260" s="42">
        <v>1.2574245698491438E-2</v>
      </c>
      <c r="F260" s="49">
        <v>93.728904374635619</v>
      </c>
      <c r="G260" s="45">
        <v>-6.2710956253643815</v>
      </c>
    </row>
    <row r="261" spans="1:7" x14ac:dyDescent="0.35">
      <c r="A261" s="84" t="s">
        <v>311</v>
      </c>
      <c r="B261" s="50">
        <v>1411</v>
      </c>
      <c r="C261" s="214">
        <v>6.5239805991335262E-3</v>
      </c>
      <c r="D261" s="41">
        <v>7679</v>
      </c>
      <c r="E261" s="42">
        <v>6.360426369719765E-3</v>
      </c>
      <c r="F261" s="49">
        <v>102.57143499360983</v>
      </c>
      <c r="G261" s="45">
        <v>2.5714349936098273</v>
      </c>
    </row>
    <row r="262" spans="1:7" x14ac:dyDescent="0.35">
      <c r="A262" s="84" t="s">
        <v>312</v>
      </c>
      <c r="B262" s="50">
        <v>3141</v>
      </c>
      <c r="C262" s="214">
        <v>1.4522907910615454E-2</v>
      </c>
      <c r="D262" s="41">
        <v>15235</v>
      </c>
      <c r="E262" s="42">
        <v>1.2618973270306111E-2</v>
      </c>
      <c r="F262" s="49">
        <v>115.08787283660801</v>
      </c>
      <c r="G262" s="45">
        <v>15.087872836608014</v>
      </c>
    </row>
    <row r="263" spans="1:7" x14ac:dyDescent="0.35">
      <c r="A263" s="84" t="s">
        <v>313</v>
      </c>
      <c r="B263" s="50">
        <v>288</v>
      </c>
      <c r="C263" s="214">
        <v>1.3316133327784944E-3</v>
      </c>
      <c r="D263" s="41">
        <v>1637</v>
      </c>
      <c r="E263" s="42">
        <v>1.3559080566781165E-3</v>
      </c>
      <c r="F263" s="49">
        <v>98.208232204243799</v>
      </c>
      <c r="G263" s="45">
        <v>-1.7917677957562006</v>
      </c>
    </row>
    <row r="264" spans="1:7" x14ac:dyDescent="0.35">
      <c r="A264" s="84" t="s">
        <v>314</v>
      </c>
      <c r="B264" s="50">
        <v>1271</v>
      </c>
      <c r="C264" s="214">
        <v>5.8766685623662029E-3</v>
      </c>
      <c r="D264" s="41">
        <v>6247</v>
      </c>
      <c r="E264" s="42">
        <v>5.1743174282640149E-3</v>
      </c>
      <c r="F264" s="49">
        <v>113.57379294640273</v>
      </c>
      <c r="G264" s="45">
        <v>13.573792946402733</v>
      </c>
    </row>
    <row r="265" spans="1:7" x14ac:dyDescent="0.35">
      <c r="A265" s="84" t="s">
        <v>315</v>
      </c>
      <c r="B265" s="50">
        <v>226</v>
      </c>
      <c r="C265" s="214">
        <v>1.0449465736386797E-3</v>
      </c>
      <c r="D265" s="41">
        <v>1634</v>
      </c>
      <c r="E265" s="42">
        <v>1.3534231915773012E-3</v>
      </c>
      <c r="F265" s="49">
        <v>77.207674594439453</v>
      </c>
      <c r="G265" s="45">
        <v>-22.792325405560547</v>
      </c>
    </row>
    <row r="266" spans="1:7" x14ac:dyDescent="0.35">
      <c r="A266" s="84" t="s">
        <v>316</v>
      </c>
      <c r="B266" s="50">
        <v>180151</v>
      </c>
      <c r="C266" s="214">
        <v>0.83295650525478659</v>
      </c>
      <c r="D266" s="41">
        <v>1016847</v>
      </c>
      <c r="E266" s="42">
        <v>0.84224254105618368</v>
      </c>
      <c r="F266" s="49">
        <v>98.897462981417178</v>
      </c>
      <c r="G266" s="45">
        <v>-1.1025370185828223</v>
      </c>
    </row>
    <row r="267" spans="1:7" x14ac:dyDescent="0.35">
      <c r="A267" s="62" t="s">
        <v>521</v>
      </c>
      <c r="B267" s="226">
        <v>216279</v>
      </c>
      <c r="C267" s="225"/>
      <c r="D267" s="224">
        <v>1207309</v>
      </c>
      <c r="E267" s="225"/>
      <c r="F267" s="58"/>
      <c r="G267" s="46"/>
    </row>
    <row r="268" spans="1:7" x14ac:dyDescent="0.35">
      <c r="A268" s="114"/>
      <c r="B268" s="114"/>
      <c r="C268" s="114"/>
      <c r="D268" s="114"/>
      <c r="E268" s="114"/>
      <c r="F268" s="114"/>
      <c r="G268" s="114"/>
    </row>
    <row r="269" spans="1:7" ht="40" customHeight="1" x14ac:dyDescent="0.35">
      <c r="A269" s="244" t="s">
        <v>320</v>
      </c>
      <c r="B269" s="227" t="s">
        <v>890</v>
      </c>
      <c r="C269" s="243" t="s">
        <v>890</v>
      </c>
      <c r="D269" s="227" t="s">
        <v>891</v>
      </c>
      <c r="E269" s="228" t="s">
        <v>891</v>
      </c>
      <c r="F269" s="235" t="s">
        <v>1</v>
      </c>
      <c r="G269" s="236" t="s">
        <v>1</v>
      </c>
    </row>
    <row r="270" spans="1:7" ht="15" customHeight="1" x14ac:dyDescent="0.35">
      <c r="A270" s="239" t="s">
        <v>866</v>
      </c>
      <c r="B270" s="35" t="s">
        <v>73</v>
      </c>
      <c r="C270" s="36" t="s">
        <v>74</v>
      </c>
      <c r="D270" s="34" t="s">
        <v>73</v>
      </c>
      <c r="E270" s="36" t="s">
        <v>74</v>
      </c>
      <c r="F270" s="237" t="s">
        <v>864</v>
      </c>
      <c r="G270" s="238" t="s">
        <v>865</v>
      </c>
    </row>
    <row r="271" spans="1:7" x14ac:dyDescent="0.35">
      <c r="A271" s="84" t="s">
        <v>318</v>
      </c>
      <c r="B271" s="50">
        <v>191318</v>
      </c>
      <c r="C271" s="214">
        <v>0.88459706764935708</v>
      </c>
      <c r="D271" s="41">
        <v>1078693</v>
      </c>
      <c r="E271" s="42">
        <v>0.89359987143079633</v>
      </c>
      <c r="F271" s="49">
        <v>98.992524051394014</v>
      </c>
      <c r="G271" s="45">
        <v>-1.0074759486059861</v>
      </c>
    </row>
    <row r="272" spans="1:7" x14ac:dyDescent="0.35">
      <c r="A272" s="85" t="s">
        <v>319</v>
      </c>
      <c r="B272" s="55">
        <v>24959</v>
      </c>
      <c r="C272" s="218">
        <v>0.11540293235064293</v>
      </c>
      <c r="D272" s="37">
        <v>128439</v>
      </c>
      <c r="E272" s="42">
        <v>0.10640012856920369</v>
      </c>
      <c r="F272" s="49">
        <v>108.46127152523479</v>
      </c>
      <c r="G272" s="45">
        <v>8.4612715252347925</v>
      </c>
    </row>
    <row r="273" spans="1:7" x14ac:dyDescent="0.35">
      <c r="A273" s="62" t="s">
        <v>521</v>
      </c>
      <c r="B273" s="226">
        <v>216277</v>
      </c>
      <c r="C273" s="225"/>
      <c r="D273" s="224">
        <v>1207132</v>
      </c>
      <c r="E273" s="225"/>
      <c r="F273" s="58"/>
      <c r="G273" s="46"/>
    </row>
    <row r="274" spans="1:7" x14ac:dyDescent="0.35">
      <c r="A274" s="93" t="s">
        <v>321</v>
      </c>
      <c r="B274" s="94">
        <v>193742</v>
      </c>
      <c r="C274" s="219">
        <v>0.89580077492856414</v>
      </c>
      <c r="D274" s="95">
        <v>1093514</v>
      </c>
      <c r="E274" s="96">
        <v>0.90591450629327064</v>
      </c>
      <c r="F274" s="49">
        <v>98.883588760920844</v>
      </c>
      <c r="G274" s="45">
        <v>-1.1164112390791558</v>
      </c>
    </row>
    <row r="275" spans="1:7" x14ac:dyDescent="0.35">
      <c r="A275" s="97" t="s">
        <v>322</v>
      </c>
      <c r="B275" s="98">
        <v>22536</v>
      </c>
      <c r="C275" s="220">
        <v>0.10419922507143584</v>
      </c>
      <c r="D275" s="99">
        <v>113569</v>
      </c>
      <c r="E275" s="100">
        <v>9.4085493706729362E-2</v>
      </c>
      <c r="F275" s="49">
        <v>110.74951192394403</v>
      </c>
      <c r="G275" s="45">
        <v>10.749511923944027</v>
      </c>
    </row>
    <row r="276" spans="1:7" x14ac:dyDescent="0.35">
      <c r="A276" s="62" t="s">
        <v>521</v>
      </c>
      <c r="B276" s="226">
        <v>216278</v>
      </c>
      <c r="C276" s="225"/>
      <c r="D276" s="224">
        <v>1207083</v>
      </c>
      <c r="E276" s="225"/>
      <c r="F276" s="58"/>
      <c r="G276" s="46"/>
    </row>
    <row r="277" spans="1:7" x14ac:dyDescent="0.35">
      <c r="A277" s="93" t="s">
        <v>323</v>
      </c>
      <c r="B277" s="94">
        <v>189680</v>
      </c>
      <c r="C277" s="219">
        <v>0.87707211060504475</v>
      </c>
      <c r="D277" s="95">
        <v>1073931</v>
      </c>
      <c r="E277" s="96">
        <v>0.88959160648698077</v>
      </c>
      <c r="F277" s="49">
        <v>98.592669288846395</v>
      </c>
      <c r="G277" s="45">
        <v>-1.4073307111536053</v>
      </c>
    </row>
    <row r="278" spans="1:7" x14ac:dyDescent="0.35">
      <c r="A278" s="97" t="s">
        <v>324</v>
      </c>
      <c r="B278" s="98">
        <v>26585</v>
      </c>
      <c r="C278" s="220">
        <v>0.12292788939495526</v>
      </c>
      <c r="D278" s="99">
        <v>133287</v>
      </c>
      <c r="E278" s="100">
        <v>0.11040839351301919</v>
      </c>
      <c r="F278" s="49">
        <v>111.33926097788913</v>
      </c>
      <c r="G278" s="45">
        <v>11.339260977889126</v>
      </c>
    </row>
    <row r="279" spans="1:7" x14ac:dyDescent="0.35">
      <c r="A279" s="62" t="s">
        <v>521</v>
      </c>
      <c r="B279" s="226">
        <v>216265</v>
      </c>
      <c r="C279" s="225"/>
      <c r="D279" s="224">
        <v>1207218</v>
      </c>
      <c r="E279" s="225"/>
      <c r="F279" s="58"/>
      <c r="G279" s="46"/>
    </row>
    <row r="280" spans="1:7" x14ac:dyDescent="0.35">
      <c r="A280" s="92" t="s">
        <v>325</v>
      </c>
      <c r="B280" s="64">
        <v>186271</v>
      </c>
      <c r="C280" s="221">
        <v>0.86121346901599249</v>
      </c>
      <c r="D280" s="75">
        <v>1048284</v>
      </c>
      <c r="E280" s="76">
        <v>0.86838285971795148</v>
      </c>
      <c r="F280" s="49">
        <v>99.174397488189996</v>
      </c>
      <c r="G280" s="45">
        <v>-0.8256025118100041</v>
      </c>
    </row>
    <row r="281" spans="1:7" x14ac:dyDescent="0.35">
      <c r="A281" s="84" t="s">
        <v>326</v>
      </c>
      <c r="B281" s="50">
        <v>30018</v>
      </c>
      <c r="C281" s="214">
        <v>0.13878653098400751</v>
      </c>
      <c r="D281" s="41">
        <v>158884</v>
      </c>
      <c r="E281" s="42">
        <v>0.13161714028204857</v>
      </c>
      <c r="F281" s="49">
        <v>105.44715580857881</v>
      </c>
      <c r="G281" s="45">
        <v>5.4471558085788132</v>
      </c>
    </row>
    <row r="282" spans="1:7" x14ac:dyDescent="0.35">
      <c r="A282" s="62" t="s">
        <v>521</v>
      </c>
      <c r="B282" s="226">
        <v>216289</v>
      </c>
      <c r="C282" s="225"/>
      <c r="D282" s="224">
        <v>1207168</v>
      </c>
      <c r="E282" s="225"/>
      <c r="F282" s="58"/>
      <c r="G282" s="46"/>
    </row>
    <row r="283" spans="1:7" x14ac:dyDescent="0.35">
      <c r="A283" s="57"/>
      <c r="B283" s="57"/>
      <c r="C283" s="57"/>
      <c r="D283" s="57"/>
      <c r="E283" s="57"/>
      <c r="F283" s="57"/>
      <c r="G283" s="57"/>
    </row>
    <row r="284" spans="1:7" x14ac:dyDescent="0.35">
      <c r="A284" s="141" t="s">
        <v>241</v>
      </c>
      <c r="B284" s="114"/>
      <c r="C284" s="215"/>
      <c r="D284" s="114"/>
      <c r="E284" s="114"/>
      <c r="F284" s="114"/>
      <c r="G284" s="114"/>
    </row>
    <row r="285" spans="1:7" ht="40" customHeight="1" x14ac:dyDescent="0.35">
      <c r="A285" s="251" t="s">
        <v>241</v>
      </c>
      <c r="B285" s="227" t="s">
        <v>890</v>
      </c>
      <c r="C285" s="243" t="s">
        <v>890</v>
      </c>
      <c r="D285" s="227" t="s">
        <v>891</v>
      </c>
      <c r="E285" s="228" t="s">
        <v>891</v>
      </c>
      <c r="F285" s="235" t="s">
        <v>1</v>
      </c>
      <c r="G285" s="236" t="s">
        <v>1</v>
      </c>
    </row>
    <row r="286" spans="1:7" ht="15" customHeight="1" x14ac:dyDescent="0.35">
      <c r="A286" s="239" t="s">
        <v>866</v>
      </c>
      <c r="B286" s="35" t="s">
        <v>73</v>
      </c>
      <c r="C286" s="36" t="s">
        <v>74</v>
      </c>
      <c r="D286" s="34" t="s">
        <v>73</v>
      </c>
      <c r="E286" s="36" t="s">
        <v>74</v>
      </c>
      <c r="F286" s="237" t="s">
        <v>864</v>
      </c>
      <c r="G286" s="238" t="s">
        <v>865</v>
      </c>
    </row>
    <row r="287" spans="1:7" ht="15" customHeight="1" x14ac:dyDescent="0.35">
      <c r="A287" s="84" t="s">
        <v>381</v>
      </c>
      <c r="B287" s="50">
        <v>176992</v>
      </c>
      <c r="C287" s="214">
        <v>0.79488020119911074</v>
      </c>
      <c r="D287" s="41">
        <v>1135623</v>
      </c>
      <c r="E287" s="42">
        <v>0.91151807708576971</v>
      </c>
      <c r="F287" s="49">
        <v>87.203997504957456</v>
      </c>
      <c r="G287" s="45">
        <v>-12.796002495042544</v>
      </c>
    </row>
    <row r="288" spans="1:7" s="138" customFormat="1" x14ac:dyDescent="0.35">
      <c r="A288" s="84" t="s">
        <v>523</v>
      </c>
      <c r="B288" s="50">
        <v>14900</v>
      </c>
      <c r="C288" s="214">
        <v>6.6916668537938165E-2</v>
      </c>
      <c r="D288" s="41">
        <v>43311</v>
      </c>
      <c r="E288" s="42">
        <v>3.4763966066786049E-2</v>
      </c>
      <c r="F288" s="49">
        <v>192.48859123088153</v>
      </c>
      <c r="G288" s="45">
        <v>92.488591230881525</v>
      </c>
    </row>
    <row r="289" spans="1:7" s="138" customFormat="1" x14ac:dyDescent="0.35">
      <c r="A289" s="107" t="s">
        <v>275</v>
      </c>
      <c r="B289" s="50">
        <v>13302</v>
      </c>
      <c r="C289" s="214">
        <v>5.9739968113533784E-2</v>
      </c>
      <c r="D289" s="41">
        <v>39280</v>
      </c>
      <c r="E289" s="42">
        <v>3.1528447440681492E-2</v>
      </c>
      <c r="F289" s="49">
        <v>189.4795746791219</v>
      </c>
      <c r="G289" s="45">
        <v>89.479574679121896</v>
      </c>
    </row>
    <row r="290" spans="1:7" s="138" customFormat="1" x14ac:dyDescent="0.35">
      <c r="A290" s="90" t="s">
        <v>276</v>
      </c>
      <c r="B290" s="50">
        <v>7179</v>
      </c>
      <c r="C290" s="214">
        <v>3.2241259290862953E-2</v>
      </c>
      <c r="D290" s="41">
        <v>19141</v>
      </c>
      <c r="E290" s="42">
        <v>1.5363696854941048E-2</v>
      </c>
      <c r="F290" s="49">
        <v>209.85352415681118</v>
      </c>
      <c r="G290" s="45">
        <v>109.85352415681118</v>
      </c>
    </row>
    <row r="291" spans="1:7" x14ac:dyDescent="0.35">
      <c r="A291" s="90" t="s">
        <v>277</v>
      </c>
      <c r="B291" s="50">
        <v>4208</v>
      </c>
      <c r="C291" s="214">
        <v>1.8898345047492871E-2</v>
      </c>
      <c r="D291" s="41">
        <v>14108</v>
      </c>
      <c r="E291" s="42">
        <v>1.1323913861841509E-2</v>
      </c>
      <c r="F291" s="49">
        <v>166.88880962946143</v>
      </c>
      <c r="G291" s="45">
        <v>66.888809629461434</v>
      </c>
    </row>
    <row r="292" spans="1:7" x14ac:dyDescent="0.35">
      <c r="A292" s="90" t="s">
        <v>278</v>
      </c>
      <c r="B292" s="50">
        <v>1505</v>
      </c>
      <c r="C292" s="214">
        <v>6.7590326274897267E-3</v>
      </c>
      <c r="D292" s="41">
        <v>4638</v>
      </c>
      <c r="E292" s="42">
        <v>3.7227326687851513E-3</v>
      </c>
      <c r="F292" s="49">
        <v>181.56105282992075</v>
      </c>
      <c r="G292" s="45">
        <v>81.561052829920754</v>
      </c>
    </row>
    <row r="293" spans="1:7" x14ac:dyDescent="0.35">
      <c r="A293" s="90" t="s">
        <v>279</v>
      </c>
      <c r="B293" s="50">
        <v>410</v>
      </c>
      <c r="C293" s="214">
        <v>1.8413311476882313E-3</v>
      </c>
      <c r="D293" s="41">
        <v>1393</v>
      </c>
      <c r="E293" s="42">
        <v>1.1181040551137809E-3</v>
      </c>
      <c r="F293" s="49">
        <v>164.68334402926865</v>
      </c>
      <c r="G293" s="45">
        <v>64.683344029268653</v>
      </c>
    </row>
    <row r="294" spans="1:7" ht="15" customHeight="1" x14ac:dyDescent="0.35">
      <c r="A294" s="108" t="s">
        <v>274</v>
      </c>
      <c r="B294" s="50">
        <v>1598</v>
      </c>
      <c r="C294" s="214">
        <v>7.1767004244043739E-3</v>
      </c>
      <c r="D294" s="41">
        <v>4031</v>
      </c>
      <c r="E294" s="42">
        <v>3.235518626104559E-3</v>
      </c>
      <c r="F294" s="49">
        <v>221.8098936752173</v>
      </c>
      <c r="G294" s="45">
        <v>121.8098936752173</v>
      </c>
    </row>
    <row r="295" spans="1:7" ht="15" customHeight="1" x14ac:dyDescent="0.35">
      <c r="A295" s="85" t="s">
        <v>269</v>
      </c>
      <c r="B295" s="50">
        <v>7986</v>
      </c>
      <c r="C295" s="214">
        <v>3.5865537915702961E-2</v>
      </c>
      <c r="D295" s="41">
        <v>17325</v>
      </c>
      <c r="E295" s="42">
        <v>1.3906068022143758E-2</v>
      </c>
      <c r="F295" s="49">
        <v>257.91286119549653</v>
      </c>
      <c r="G295" s="45">
        <v>157.91286119549653</v>
      </c>
    </row>
    <row r="296" spans="1:7" ht="15" customHeight="1" x14ac:dyDescent="0.35">
      <c r="A296" s="85" t="s">
        <v>270</v>
      </c>
      <c r="B296" s="50">
        <v>19802</v>
      </c>
      <c r="C296" s="214">
        <v>8.8931803381761834E-2</v>
      </c>
      <c r="D296" s="41">
        <v>41694</v>
      </c>
      <c r="E296" s="42">
        <v>3.3466066384719301E-2</v>
      </c>
      <c r="F296" s="63">
        <v>265.73724667673628</v>
      </c>
      <c r="G296" s="91">
        <v>165.73724667673628</v>
      </c>
    </row>
    <row r="297" spans="1:7" ht="15" customHeight="1" x14ac:dyDescent="0.35">
      <c r="A297" s="85" t="s">
        <v>271</v>
      </c>
      <c r="B297" s="50">
        <v>2437</v>
      </c>
      <c r="C297" s="214">
        <v>1.0944692699795658E-2</v>
      </c>
      <c r="D297" s="41">
        <v>5905</v>
      </c>
      <c r="E297" s="42">
        <v>4.7397016837378873E-3</v>
      </c>
      <c r="F297" s="49">
        <v>230.91522273115524</v>
      </c>
      <c r="G297" s="45">
        <v>130.91522273115524</v>
      </c>
    </row>
    <row r="298" spans="1:7" ht="15" customHeight="1" x14ac:dyDescent="0.35">
      <c r="A298" s="85" t="s">
        <v>272</v>
      </c>
      <c r="B298" s="50">
        <v>502</v>
      </c>
      <c r="C298" s="214">
        <v>2.2545078930231513E-3</v>
      </c>
      <c r="D298" s="41">
        <v>1850</v>
      </c>
      <c r="E298" s="42">
        <v>1.4849192404597952E-3</v>
      </c>
      <c r="F298" s="49">
        <v>151.82697022129352</v>
      </c>
      <c r="G298" s="45">
        <v>51.826970221293521</v>
      </c>
    </row>
    <row r="299" spans="1:7" ht="15" customHeight="1" x14ac:dyDescent="0.35">
      <c r="A299" s="85" t="s">
        <v>273</v>
      </c>
      <c r="B299" s="50">
        <v>46</v>
      </c>
      <c r="C299" s="214">
        <v>2.0658837266746008E-4</v>
      </c>
      <c r="D299" s="41">
        <v>151</v>
      </c>
      <c r="E299" s="42">
        <v>1.2120151638347517E-4</v>
      </c>
      <c r="F299" s="49">
        <v>170.45032012126433</v>
      </c>
      <c r="G299" s="45">
        <v>70.450320121264326</v>
      </c>
    </row>
    <row r="300" spans="1:7" x14ac:dyDescent="0.35">
      <c r="A300" s="62" t="s">
        <v>2</v>
      </c>
      <c r="B300" s="226">
        <v>222665</v>
      </c>
      <c r="C300" s="225"/>
      <c r="D300" s="224">
        <v>1245859</v>
      </c>
      <c r="E300" s="225"/>
      <c r="F300" s="58"/>
      <c r="G300" s="46"/>
    </row>
    <row r="301" spans="1:7" ht="45" customHeight="1" x14ac:dyDescent="0.35">
      <c r="A301" s="288" t="s">
        <v>848</v>
      </c>
      <c r="B301" s="288"/>
      <c r="C301" s="288"/>
      <c r="D301" s="288"/>
      <c r="E301" s="288"/>
      <c r="F301" s="288"/>
      <c r="G301" s="288"/>
    </row>
    <row r="302" spans="1:7" x14ac:dyDescent="0.35">
      <c r="A302" s="77"/>
      <c r="B302" s="87"/>
      <c r="C302" s="87"/>
      <c r="D302" s="83"/>
      <c r="E302" s="83"/>
      <c r="F302" s="83"/>
      <c r="G302" s="83"/>
    </row>
    <row r="303" spans="1:7" x14ac:dyDescent="0.35">
      <c r="A303" s="141" t="s">
        <v>465</v>
      </c>
      <c r="B303" s="87"/>
      <c r="C303" s="87"/>
      <c r="D303" s="83"/>
      <c r="E303" s="83"/>
      <c r="F303" s="83"/>
      <c r="G303" s="83"/>
    </row>
    <row r="304" spans="1:7" ht="40" customHeight="1" x14ac:dyDescent="0.35">
      <c r="A304" s="249" t="s">
        <v>290</v>
      </c>
      <c r="B304" s="227" t="s">
        <v>890</v>
      </c>
      <c r="C304" s="243" t="s">
        <v>890</v>
      </c>
      <c r="D304" s="227" t="s">
        <v>891</v>
      </c>
      <c r="E304" s="228" t="s">
        <v>891</v>
      </c>
      <c r="F304" s="235" t="s">
        <v>1</v>
      </c>
      <c r="G304" s="236" t="s">
        <v>1</v>
      </c>
    </row>
    <row r="305" spans="1:7" x14ac:dyDescent="0.35">
      <c r="A305" s="239" t="s">
        <v>866</v>
      </c>
      <c r="B305" s="35" t="s">
        <v>73</v>
      </c>
      <c r="C305" s="36" t="s">
        <v>74</v>
      </c>
      <c r="D305" s="34" t="s">
        <v>73</v>
      </c>
      <c r="E305" s="36" t="s">
        <v>74</v>
      </c>
      <c r="F305" s="237" t="s">
        <v>864</v>
      </c>
      <c r="G305" s="238" t="s">
        <v>865</v>
      </c>
    </row>
    <row r="306" spans="1:7" x14ac:dyDescent="0.35">
      <c r="A306" s="84" t="s">
        <v>242</v>
      </c>
      <c r="B306" s="50">
        <v>176992</v>
      </c>
      <c r="C306" s="214">
        <v>0.79471245375193078</v>
      </c>
      <c r="D306" s="41">
        <v>1135623</v>
      </c>
      <c r="E306" s="42">
        <v>0.91151880872458979</v>
      </c>
      <c r="F306" s="49">
        <v>87.185524439578359</v>
      </c>
      <c r="G306" s="45">
        <v>-12.814475560421641</v>
      </c>
    </row>
    <row r="307" spans="1:7" ht="15" customHeight="1" x14ac:dyDescent="0.35">
      <c r="A307" s="84" t="s">
        <v>280</v>
      </c>
      <c r="B307" s="50">
        <v>175</v>
      </c>
      <c r="C307" s="214">
        <v>7.8576816696002008E-4</v>
      </c>
      <c r="D307" s="41">
        <v>825</v>
      </c>
      <c r="E307" s="42">
        <v>6.6219424685638327E-4</v>
      </c>
      <c r="F307" s="49">
        <v>118.66127963060325</v>
      </c>
      <c r="G307" s="45">
        <v>18.661279630603246</v>
      </c>
    </row>
    <row r="308" spans="1:7" x14ac:dyDescent="0.35">
      <c r="A308" s="84" t="s">
        <v>243</v>
      </c>
      <c r="B308" s="50">
        <v>605</v>
      </c>
      <c r="C308" s="214">
        <v>2.7165128057760695E-3</v>
      </c>
      <c r="D308" s="41">
        <v>2576</v>
      </c>
      <c r="E308" s="42">
        <v>2.0676513695782345E-3</v>
      </c>
      <c r="F308" s="49">
        <v>131.38156875693176</v>
      </c>
      <c r="G308" s="45">
        <v>31.381568756931756</v>
      </c>
    </row>
    <row r="309" spans="1:7" x14ac:dyDescent="0.35">
      <c r="A309" s="84" t="s">
        <v>244</v>
      </c>
      <c r="B309" s="50">
        <v>1305</v>
      </c>
      <c r="C309" s="214">
        <v>5.8595854736161503E-3</v>
      </c>
      <c r="D309" s="41">
        <v>4678</v>
      </c>
      <c r="E309" s="42">
        <v>3.7548420445989833E-3</v>
      </c>
      <c r="F309" s="49">
        <v>156.05411370219045</v>
      </c>
      <c r="G309" s="45">
        <v>56.054113702190449</v>
      </c>
    </row>
    <row r="310" spans="1:7" x14ac:dyDescent="0.35">
      <c r="A310" s="84" t="s">
        <v>245</v>
      </c>
      <c r="B310" s="50">
        <v>1695</v>
      </c>
      <c r="C310" s="214">
        <v>7.610725959984195E-3</v>
      </c>
      <c r="D310" s="41">
        <v>5590</v>
      </c>
      <c r="E310" s="42">
        <v>4.4868676847602219E-3</v>
      </c>
      <c r="F310" s="49">
        <v>169.62225085964201</v>
      </c>
      <c r="G310" s="45">
        <v>69.622250859642008</v>
      </c>
    </row>
    <row r="311" spans="1:7" x14ac:dyDescent="0.35">
      <c r="A311" s="84" t="s">
        <v>246</v>
      </c>
      <c r="B311" s="50">
        <v>2152</v>
      </c>
      <c r="C311" s="214">
        <v>9.6627034017026468E-3</v>
      </c>
      <c r="D311" s="41">
        <v>6348</v>
      </c>
      <c r="E311" s="42">
        <v>5.0952837321749352E-3</v>
      </c>
      <c r="F311" s="49">
        <v>189.64014389789628</v>
      </c>
      <c r="G311" s="45">
        <v>89.64014389789628</v>
      </c>
    </row>
    <row r="312" spans="1:7" x14ac:dyDescent="0.35">
      <c r="A312" s="84" t="s">
        <v>247</v>
      </c>
      <c r="B312" s="50">
        <v>3751</v>
      </c>
      <c r="C312" s="214">
        <v>1.6842379395811631E-2</v>
      </c>
      <c r="D312" s="41">
        <v>10129</v>
      </c>
      <c r="E312" s="42">
        <v>8.1301400320100692E-3</v>
      </c>
      <c r="F312" s="49">
        <v>207.1597700593058</v>
      </c>
      <c r="G312" s="45">
        <v>107.1597700593058</v>
      </c>
    </row>
    <row r="313" spans="1:7" x14ac:dyDescent="0.35">
      <c r="A313" s="84" t="s">
        <v>281</v>
      </c>
      <c r="B313" s="50">
        <v>11984</v>
      </c>
      <c r="C313" s="214">
        <v>5.3809404073422176E-2</v>
      </c>
      <c r="D313" s="41">
        <v>31858</v>
      </c>
      <c r="E313" s="42">
        <v>2.5571132504667467E-2</v>
      </c>
      <c r="F313" s="49">
        <v>210.43027352660434</v>
      </c>
      <c r="G313" s="45">
        <v>110.43027352660434</v>
      </c>
    </row>
    <row r="314" spans="1:7" x14ac:dyDescent="0.35">
      <c r="A314" s="84" t="s">
        <v>282</v>
      </c>
      <c r="B314" s="50">
        <v>3858</v>
      </c>
      <c r="C314" s="214">
        <v>1.7322820503610042E-2</v>
      </c>
      <c r="D314" s="41">
        <v>9546</v>
      </c>
      <c r="E314" s="42">
        <v>7.662189430898224E-3</v>
      </c>
      <c r="F314" s="49">
        <v>226.08186158586423</v>
      </c>
      <c r="G314" s="45">
        <v>126.08186158586423</v>
      </c>
    </row>
    <row r="315" spans="1:7" x14ac:dyDescent="0.35">
      <c r="A315" s="84" t="s">
        <v>283</v>
      </c>
      <c r="B315" s="50">
        <v>5838</v>
      </c>
      <c r="C315" s="214">
        <v>2.6213226049786272E-2</v>
      </c>
      <c r="D315" s="41">
        <v>12989</v>
      </c>
      <c r="E315" s="42">
        <v>1.042574675444553E-2</v>
      </c>
      <c r="F315" s="63">
        <v>251.42780337158081</v>
      </c>
      <c r="G315" s="91">
        <v>151.42780337158081</v>
      </c>
    </row>
    <row r="316" spans="1:7" x14ac:dyDescent="0.35">
      <c r="A316" s="84" t="s">
        <v>284</v>
      </c>
      <c r="B316" s="50">
        <v>8091</v>
      </c>
      <c r="C316" s="214">
        <v>3.6329429936420132E-2</v>
      </c>
      <c r="D316" s="41">
        <v>15634</v>
      </c>
      <c r="E316" s="42">
        <v>1.2548781642851753E-2</v>
      </c>
      <c r="F316" s="49">
        <v>289.50563465350211</v>
      </c>
      <c r="G316" s="45">
        <v>189.50563465350211</v>
      </c>
    </row>
    <row r="317" spans="1:7" x14ac:dyDescent="0.35">
      <c r="A317" s="84" t="s">
        <v>285</v>
      </c>
      <c r="B317" s="50">
        <v>6266</v>
      </c>
      <c r="C317" s="214">
        <v>2.8134990480979921E-2</v>
      </c>
      <c r="D317" s="86">
        <v>10062</v>
      </c>
      <c r="E317" s="53">
        <v>8.0763618325683986E-3</v>
      </c>
      <c r="F317" s="49">
        <v>348.36218416470564</v>
      </c>
      <c r="G317" s="45">
        <v>248.36218416470564</v>
      </c>
    </row>
    <row r="318" spans="1:7" x14ac:dyDescent="0.35">
      <c r="A318" s="62" t="s">
        <v>2</v>
      </c>
      <c r="B318" s="226">
        <v>222712</v>
      </c>
      <c r="C318" s="225"/>
      <c r="D318" s="224">
        <v>1245858</v>
      </c>
      <c r="E318" s="225"/>
      <c r="F318" s="58"/>
      <c r="G318" s="46"/>
    </row>
    <row r="319" spans="1:7" x14ac:dyDescent="0.35">
      <c r="A319" s="56"/>
      <c r="B319" s="82"/>
      <c r="C319" s="213"/>
      <c r="D319" s="82"/>
      <c r="E319" s="82"/>
      <c r="F319" s="82"/>
      <c r="G319" s="83"/>
    </row>
    <row r="320" spans="1:7" ht="40" customHeight="1" x14ac:dyDescent="0.35">
      <c r="A320" s="249" t="s">
        <v>289</v>
      </c>
      <c r="B320" s="227" t="s">
        <v>890</v>
      </c>
      <c r="C320" s="243" t="s">
        <v>890</v>
      </c>
      <c r="D320" s="227" t="s">
        <v>891</v>
      </c>
      <c r="E320" s="228" t="s">
        <v>891</v>
      </c>
      <c r="F320" s="235" t="s">
        <v>1</v>
      </c>
      <c r="G320" s="236" t="s">
        <v>1</v>
      </c>
    </row>
    <row r="321" spans="1:7" x14ac:dyDescent="0.35">
      <c r="A321" s="239" t="s">
        <v>866</v>
      </c>
      <c r="B321" s="35" t="s">
        <v>73</v>
      </c>
      <c r="C321" s="36" t="s">
        <v>74</v>
      </c>
      <c r="D321" s="34" t="s">
        <v>73</v>
      </c>
      <c r="E321" s="36" t="s">
        <v>74</v>
      </c>
      <c r="F321" s="237" t="s">
        <v>864</v>
      </c>
      <c r="G321" s="238" t="s">
        <v>865</v>
      </c>
    </row>
    <row r="322" spans="1:7" x14ac:dyDescent="0.35">
      <c r="A322" s="84" t="s">
        <v>242</v>
      </c>
      <c r="B322" s="50">
        <v>176992</v>
      </c>
      <c r="C322" s="214">
        <v>0.7948123798746205</v>
      </c>
      <c r="D322" s="41">
        <v>1135623</v>
      </c>
      <c r="E322" s="42">
        <v>0.91162417697802223</v>
      </c>
      <c r="F322" s="49">
        <v>87.186408604187577</v>
      </c>
      <c r="G322" s="45">
        <v>-12.813591395812423</v>
      </c>
    </row>
    <row r="323" spans="1:7" x14ac:dyDescent="0.35">
      <c r="A323" s="84" t="s">
        <v>248</v>
      </c>
      <c r="B323" s="50">
        <v>5480</v>
      </c>
      <c r="C323" s="214">
        <v>2.4608862783136641E-2</v>
      </c>
      <c r="D323" s="41">
        <v>16205</v>
      </c>
      <c r="E323" s="42">
        <v>1.300860390105594E-2</v>
      </c>
      <c r="F323" s="49">
        <v>189.17374201192396</v>
      </c>
      <c r="G323" s="45">
        <v>89.173742011923963</v>
      </c>
    </row>
    <row r="324" spans="1:7" x14ac:dyDescent="0.35">
      <c r="A324" s="84" t="s">
        <v>286</v>
      </c>
      <c r="B324" s="50">
        <v>3474</v>
      </c>
      <c r="C324" s="214">
        <v>1.5600581990623485E-2</v>
      </c>
      <c r="D324" s="41">
        <v>8540</v>
      </c>
      <c r="E324" s="42">
        <v>6.855506159519761E-3</v>
      </c>
      <c r="F324" s="49">
        <v>227.56280320687989</v>
      </c>
      <c r="G324" s="45">
        <v>127.56280320687989</v>
      </c>
    </row>
    <row r="325" spans="1:7" x14ac:dyDescent="0.35">
      <c r="A325" s="84" t="s">
        <v>249</v>
      </c>
      <c r="B325" s="50">
        <v>2914</v>
      </c>
      <c r="C325" s="214">
        <v>1.3085807691616821E-2</v>
      </c>
      <c r="D325" s="41">
        <v>7054</v>
      </c>
      <c r="E325" s="42">
        <v>5.6626159776642154E-3</v>
      </c>
      <c r="F325" s="49">
        <v>231.09120843145385</v>
      </c>
      <c r="G325" s="45">
        <v>131.09120843145385</v>
      </c>
    </row>
    <row r="326" spans="1:7" x14ac:dyDescent="0.35">
      <c r="A326" s="84" t="s">
        <v>287</v>
      </c>
      <c r="B326" s="50">
        <v>6417</v>
      </c>
      <c r="C326" s="214">
        <v>2.8816619065581722E-2</v>
      </c>
      <c r="D326" s="41">
        <v>12970</v>
      </c>
      <c r="E326" s="42">
        <v>1.0411699635710925E-2</v>
      </c>
      <c r="F326" s="49">
        <v>276.77151736825039</v>
      </c>
      <c r="G326" s="45">
        <v>176.77151736825039</v>
      </c>
    </row>
    <row r="327" spans="1:7" ht="15" customHeight="1" x14ac:dyDescent="0.35">
      <c r="A327" s="84" t="s">
        <v>250</v>
      </c>
      <c r="B327" s="50">
        <v>8933</v>
      </c>
      <c r="C327" s="214">
        <v>4.0115140737547378E-2</v>
      </c>
      <c r="D327" s="41">
        <v>20193</v>
      </c>
      <c r="E327" s="42">
        <v>1.6209980782105685E-2</v>
      </c>
      <c r="F327" s="49">
        <v>247.47185870714156</v>
      </c>
      <c r="G327" s="45">
        <v>147.47185870714156</v>
      </c>
    </row>
    <row r="328" spans="1:7" x14ac:dyDescent="0.35">
      <c r="A328" s="84" t="s">
        <v>251</v>
      </c>
      <c r="B328" s="50">
        <v>7487</v>
      </c>
      <c r="C328" s="214">
        <v>3.3621634244040882E-2</v>
      </c>
      <c r="D328" s="41">
        <v>17854</v>
      </c>
      <c r="E328" s="42">
        <v>1.4332342736775857E-2</v>
      </c>
      <c r="F328" s="49">
        <v>234.58575378448049</v>
      </c>
      <c r="G328" s="45">
        <v>134.58575378448049</v>
      </c>
    </row>
    <row r="329" spans="1:7" ht="15" customHeight="1" x14ac:dyDescent="0.35">
      <c r="A329" s="84" t="s">
        <v>252</v>
      </c>
      <c r="B329" s="50">
        <v>8827</v>
      </c>
      <c r="C329" s="214">
        <v>3.9639129888092546E-2</v>
      </c>
      <c r="D329" s="41">
        <v>21733</v>
      </c>
      <c r="E329" s="42">
        <v>1.7446219597756787E-2</v>
      </c>
      <c r="F329" s="49">
        <v>227.2075601592754</v>
      </c>
      <c r="G329" s="45">
        <v>127.2075601592754</v>
      </c>
    </row>
    <row r="330" spans="1:7" ht="15" customHeight="1" x14ac:dyDescent="0.35">
      <c r="A330" s="84" t="s">
        <v>253</v>
      </c>
      <c r="B330" s="50">
        <v>1699</v>
      </c>
      <c r="C330" s="214">
        <v>7.6296455964505756E-3</v>
      </c>
      <c r="D330" s="41">
        <v>4302</v>
      </c>
      <c r="E330" s="42">
        <v>3.4534411590461376E-3</v>
      </c>
      <c r="F330" s="49">
        <v>220.92878508918713</v>
      </c>
      <c r="G330" s="45">
        <v>120.92878508918713</v>
      </c>
    </row>
    <row r="331" spans="1:7" x14ac:dyDescent="0.35">
      <c r="A331" s="84" t="s">
        <v>254</v>
      </c>
      <c r="B331" s="50">
        <v>173</v>
      </c>
      <c r="C331" s="214">
        <v>7.7688563165741588E-4</v>
      </c>
      <c r="D331" s="41">
        <v>483</v>
      </c>
      <c r="E331" s="42">
        <v>3.877294467269373E-4</v>
      </c>
      <c r="F331" s="63">
        <v>200.36797261997643</v>
      </c>
      <c r="G331" s="91">
        <v>100.36797261997643</v>
      </c>
    </row>
    <row r="332" spans="1:7" ht="15" customHeight="1" x14ac:dyDescent="0.35">
      <c r="A332" s="84" t="s">
        <v>255</v>
      </c>
      <c r="B332" s="50">
        <v>215</v>
      </c>
      <c r="C332" s="214">
        <v>9.6549370408291566E-4</v>
      </c>
      <c r="D332" s="41">
        <v>556</v>
      </c>
      <c r="E332" s="42">
        <v>4.4633037759871048E-4</v>
      </c>
      <c r="F332" s="49">
        <v>216.31816979999013</v>
      </c>
      <c r="G332" s="45">
        <v>116.31816979999013</v>
      </c>
    </row>
    <row r="333" spans="1:7" ht="15" customHeight="1" x14ac:dyDescent="0.35">
      <c r="A333" s="84" t="s">
        <v>256</v>
      </c>
      <c r="B333" s="50">
        <v>64</v>
      </c>
      <c r="C333" s="214">
        <v>2.8740277702933305E-4</v>
      </c>
      <c r="D333" s="41">
        <v>176</v>
      </c>
      <c r="E333" s="42">
        <v>1.4128443607441194E-4</v>
      </c>
      <c r="F333" s="49">
        <v>203.42139942290828</v>
      </c>
      <c r="G333" s="45">
        <v>103.42139942290828</v>
      </c>
    </row>
    <row r="334" spans="1:7" ht="15" customHeight="1" x14ac:dyDescent="0.35">
      <c r="A334" s="84" t="s">
        <v>288</v>
      </c>
      <c r="B334" s="50">
        <v>9</v>
      </c>
      <c r="C334" s="214">
        <v>4.0416015519749962E-5</v>
      </c>
      <c r="D334" s="41">
        <v>25</v>
      </c>
      <c r="E334" s="42">
        <v>2.0068811942388061E-5</v>
      </c>
      <c r="F334" s="49">
        <v>201.3871854286792</v>
      </c>
      <c r="G334" s="45">
        <v>101.3871854286792</v>
      </c>
    </row>
    <row r="335" spans="1:7" ht="15" customHeight="1" x14ac:dyDescent="0.35">
      <c r="A335" s="62" t="s">
        <v>2</v>
      </c>
      <c r="B335" s="226">
        <v>222684</v>
      </c>
      <c r="C335" s="225"/>
      <c r="D335" s="224">
        <v>1245714</v>
      </c>
      <c r="E335" s="225"/>
      <c r="F335" s="58"/>
      <c r="G335" s="46"/>
    </row>
    <row r="336" spans="1:7" ht="15" customHeight="1" x14ac:dyDescent="0.35">
      <c r="A336" s="56"/>
      <c r="B336" s="82"/>
      <c r="C336" s="213"/>
      <c r="D336" s="82"/>
      <c r="E336" s="82"/>
      <c r="F336" s="82"/>
      <c r="G336" s="83"/>
    </row>
    <row r="337" spans="1:7" ht="40" customHeight="1" x14ac:dyDescent="0.35">
      <c r="A337" s="249" t="s">
        <v>525</v>
      </c>
      <c r="B337" s="227" t="s">
        <v>890</v>
      </c>
      <c r="C337" s="243" t="s">
        <v>890</v>
      </c>
      <c r="D337" s="227" t="s">
        <v>891</v>
      </c>
      <c r="E337" s="228" t="s">
        <v>891</v>
      </c>
      <c r="F337" s="235" t="s">
        <v>1</v>
      </c>
      <c r="G337" s="236" t="s">
        <v>1</v>
      </c>
    </row>
    <row r="338" spans="1:7" ht="15" customHeight="1" x14ac:dyDescent="0.35">
      <c r="A338" s="239" t="s">
        <v>866</v>
      </c>
      <c r="B338" s="35" t="s">
        <v>73</v>
      </c>
      <c r="C338" s="36" t="s">
        <v>74</v>
      </c>
      <c r="D338" s="34" t="s">
        <v>73</v>
      </c>
      <c r="E338" s="36" t="s">
        <v>74</v>
      </c>
      <c r="F338" s="237" t="s">
        <v>864</v>
      </c>
      <c r="G338" s="238" t="s">
        <v>865</v>
      </c>
    </row>
    <row r="339" spans="1:7" ht="15" customHeight="1" x14ac:dyDescent="0.35">
      <c r="A339" s="84" t="s">
        <v>242</v>
      </c>
      <c r="B339" s="50">
        <v>176992</v>
      </c>
      <c r="C339" s="214">
        <v>0.79495517507770252</v>
      </c>
      <c r="D339" s="41">
        <v>1135623</v>
      </c>
      <c r="E339" s="42">
        <v>0.91153563674162308</v>
      </c>
      <c r="F339" s="49">
        <v>87.210542631043012</v>
      </c>
      <c r="G339" s="45">
        <v>-12.789457368956988</v>
      </c>
    </row>
    <row r="340" spans="1:7" ht="15" customHeight="1" x14ac:dyDescent="0.35">
      <c r="A340" s="84" t="s">
        <v>258</v>
      </c>
      <c r="B340" s="50">
        <v>21873</v>
      </c>
      <c r="C340" s="214">
        <v>9.8242036614505673E-2</v>
      </c>
      <c r="D340" s="41">
        <v>62703</v>
      </c>
      <c r="E340" s="42">
        <v>5.0330099892842955E-2</v>
      </c>
      <c r="F340" s="49">
        <v>195.19539365840976</v>
      </c>
      <c r="G340" s="45">
        <v>95.195393658409756</v>
      </c>
    </row>
    <row r="341" spans="1:7" ht="15" customHeight="1" x14ac:dyDescent="0.35">
      <c r="A341" s="84" t="s">
        <v>291</v>
      </c>
      <c r="B341" s="50">
        <v>7780</v>
      </c>
      <c r="C341" s="214">
        <v>3.4943676901241442E-2</v>
      </c>
      <c r="D341" s="41">
        <v>18347</v>
      </c>
      <c r="E341" s="42">
        <v>1.4726669261980921E-2</v>
      </c>
      <c r="F341" s="49">
        <v>237.28160305367706</v>
      </c>
      <c r="G341" s="45">
        <v>137.28160305367706</v>
      </c>
    </row>
    <row r="342" spans="1:7" ht="15" customHeight="1" x14ac:dyDescent="0.35">
      <c r="A342" s="84" t="s">
        <v>292</v>
      </c>
      <c r="B342" s="50">
        <v>6814</v>
      </c>
      <c r="C342" s="214">
        <v>3.0604911877256967E-2</v>
      </c>
      <c r="D342" s="41">
        <v>13957</v>
      </c>
      <c r="E342" s="42">
        <v>1.1202928156617852E-2</v>
      </c>
      <c r="F342" s="49">
        <v>273.18671912733703</v>
      </c>
      <c r="G342" s="45">
        <v>173.18671912733703</v>
      </c>
    </row>
    <row r="343" spans="1:7" ht="15" customHeight="1" x14ac:dyDescent="0.35">
      <c r="A343" s="84" t="s">
        <v>257</v>
      </c>
      <c r="B343" s="50">
        <v>9185</v>
      </c>
      <c r="C343" s="214">
        <v>4.1254199529293399E-2</v>
      </c>
      <c r="D343" s="86">
        <v>15205</v>
      </c>
      <c r="E343" s="53">
        <v>1.2204665946935188E-2</v>
      </c>
      <c r="F343" s="49">
        <v>338.01989918169841</v>
      </c>
      <c r="G343" s="45">
        <v>238.01989918169841</v>
      </c>
    </row>
    <row r="344" spans="1:7" ht="15" customHeight="1" x14ac:dyDescent="0.35">
      <c r="A344" s="62" t="s">
        <v>2</v>
      </c>
      <c r="B344" s="226">
        <v>222644</v>
      </c>
      <c r="C344" s="225"/>
      <c r="D344" s="224">
        <v>1245835</v>
      </c>
      <c r="E344" s="225"/>
      <c r="F344" s="58"/>
      <c r="G344" s="46"/>
    </row>
    <row r="345" spans="1:7" ht="15" customHeight="1" x14ac:dyDescent="0.35">
      <c r="A345" s="56"/>
      <c r="B345" s="82"/>
      <c r="C345" s="213"/>
      <c r="D345" s="82"/>
      <c r="E345" s="82"/>
      <c r="F345" s="82"/>
      <c r="G345" s="83"/>
    </row>
    <row r="346" spans="1:7" ht="15" customHeight="1" x14ac:dyDescent="0.35">
      <c r="A346" s="56" t="s">
        <v>666</v>
      </c>
      <c r="B346" s="82"/>
      <c r="C346" s="213"/>
      <c r="D346" s="82"/>
      <c r="E346" s="82"/>
      <c r="F346" s="82"/>
      <c r="G346" s="83"/>
    </row>
    <row r="347" spans="1:7" ht="40" customHeight="1" x14ac:dyDescent="0.35">
      <c r="A347" s="249" t="s">
        <v>791</v>
      </c>
      <c r="B347" s="227" t="s">
        <v>890</v>
      </c>
      <c r="C347" s="243" t="s">
        <v>890</v>
      </c>
      <c r="D347" s="227" t="s">
        <v>891</v>
      </c>
      <c r="E347" s="228" t="s">
        <v>891</v>
      </c>
      <c r="F347" s="235" t="s">
        <v>1</v>
      </c>
      <c r="G347" s="236" t="s">
        <v>1</v>
      </c>
    </row>
    <row r="348" spans="1:7" ht="15" customHeight="1" x14ac:dyDescent="0.35">
      <c r="A348" s="239" t="s">
        <v>866</v>
      </c>
      <c r="B348" s="35" t="s">
        <v>73</v>
      </c>
      <c r="C348" s="36" t="s">
        <v>74</v>
      </c>
      <c r="D348" s="34" t="s">
        <v>73</v>
      </c>
      <c r="E348" s="36" t="s">
        <v>74</v>
      </c>
      <c r="F348" s="237" t="s">
        <v>864</v>
      </c>
      <c r="G348" s="238" t="s">
        <v>865</v>
      </c>
    </row>
    <row r="349" spans="1:7" ht="15" customHeight="1" x14ac:dyDescent="0.35">
      <c r="A349" s="84" t="s">
        <v>790</v>
      </c>
      <c r="B349" s="50">
        <v>183887</v>
      </c>
      <c r="C349" s="214">
        <v>0.83982772951890317</v>
      </c>
      <c r="D349" s="41">
        <v>1146380</v>
      </c>
      <c r="E349" s="42">
        <v>0.9334194248101414</v>
      </c>
      <c r="F349" s="49">
        <v>89.973243238400045</v>
      </c>
      <c r="G349" s="45">
        <v>-10.026756761599955</v>
      </c>
    </row>
    <row r="350" spans="1:7" ht="15" customHeight="1" x14ac:dyDescent="0.35">
      <c r="A350" s="166" t="s">
        <v>809</v>
      </c>
      <c r="B350" s="50">
        <v>6125</v>
      </c>
      <c r="C350" s="214">
        <v>2.79734012915719E-2</v>
      </c>
      <c r="D350" s="41">
        <v>16495</v>
      </c>
      <c r="E350" s="42">
        <v>1.3430758921337849E-2</v>
      </c>
      <c r="F350" s="49">
        <v>208.27863455377579</v>
      </c>
      <c r="G350" s="45">
        <v>108.27863455377579</v>
      </c>
    </row>
    <row r="351" spans="1:7" ht="15" customHeight="1" x14ac:dyDescent="0.35">
      <c r="A351" s="166" t="s">
        <v>758</v>
      </c>
      <c r="B351" s="50">
        <v>1074</v>
      </c>
      <c r="C351" s="214">
        <v>4.9050502836160362E-3</v>
      </c>
      <c r="D351" s="41">
        <v>3587</v>
      </c>
      <c r="E351" s="42">
        <v>2.9206506366073878E-3</v>
      </c>
      <c r="F351" s="49">
        <v>167.94375274249563</v>
      </c>
      <c r="G351" s="45">
        <v>67.943752742495633</v>
      </c>
    </row>
    <row r="352" spans="1:7" ht="15" customHeight="1" x14ac:dyDescent="0.35">
      <c r="A352" s="166" t="s">
        <v>759</v>
      </c>
      <c r="B352" s="50">
        <v>281</v>
      </c>
      <c r="C352" s="214">
        <v>1.2833511449684414E-3</v>
      </c>
      <c r="D352" s="41">
        <v>837</v>
      </c>
      <c r="E352" s="42">
        <v>6.8151228961259649E-4</v>
      </c>
      <c r="F352" s="49">
        <v>188.3093180458944</v>
      </c>
      <c r="G352" s="45">
        <v>88.3093180458944</v>
      </c>
    </row>
    <row r="353" spans="1:7" ht="15" customHeight="1" x14ac:dyDescent="0.35">
      <c r="A353" s="166" t="s">
        <v>814</v>
      </c>
      <c r="B353" s="50">
        <v>10390</v>
      </c>
      <c r="C353" s="214">
        <v>4.7452022762356251E-2</v>
      </c>
      <c r="D353" s="41">
        <v>25850</v>
      </c>
      <c r="E353" s="42">
        <v>2.1047900461751038E-2</v>
      </c>
      <c r="F353" s="49">
        <v>225.4477725632905</v>
      </c>
      <c r="G353" s="45">
        <v>125.4477725632905</v>
      </c>
    </row>
    <row r="354" spans="1:7" ht="15" customHeight="1" x14ac:dyDescent="0.35">
      <c r="A354" s="166" t="s">
        <v>810</v>
      </c>
      <c r="B354" s="50">
        <v>1911</v>
      </c>
      <c r="C354" s="214">
        <v>8.727701202970433E-3</v>
      </c>
      <c r="D354" s="41">
        <v>5163</v>
      </c>
      <c r="E354" s="42">
        <v>4.2038804674669481E-3</v>
      </c>
      <c r="F354" s="49">
        <v>207.61059384329536</v>
      </c>
      <c r="G354" s="45">
        <v>107.61059384329536</v>
      </c>
    </row>
    <row r="355" spans="1:7" ht="15" customHeight="1" x14ac:dyDescent="0.35">
      <c r="A355" s="166" t="s">
        <v>812</v>
      </c>
      <c r="B355" s="50">
        <v>1138</v>
      </c>
      <c r="C355" s="214">
        <v>5.19734378282593E-3</v>
      </c>
      <c r="D355" s="41">
        <v>1897</v>
      </c>
      <c r="E355" s="42">
        <v>1.544598343363316E-3</v>
      </c>
      <c r="F355" s="49">
        <v>336.48513253671319</v>
      </c>
      <c r="G355" s="45">
        <v>236.48513253671319</v>
      </c>
    </row>
    <row r="356" spans="1:7" ht="15" customHeight="1" x14ac:dyDescent="0.35">
      <c r="A356" s="166" t="s">
        <v>811</v>
      </c>
      <c r="B356" s="50">
        <v>1171</v>
      </c>
      <c r="C356" s="214">
        <v>5.348057618356032E-3</v>
      </c>
      <c r="D356" s="41">
        <v>2492</v>
      </c>
      <c r="E356" s="42">
        <v>2.0290664584403711E-3</v>
      </c>
      <c r="F356" s="49">
        <v>263.57232391820139</v>
      </c>
      <c r="G356" s="45">
        <v>163.57232391820139</v>
      </c>
    </row>
    <row r="357" spans="1:7" ht="15" customHeight="1" x14ac:dyDescent="0.35">
      <c r="A357" s="166" t="s">
        <v>813</v>
      </c>
      <c r="B357" s="50">
        <v>1167</v>
      </c>
      <c r="C357" s="214">
        <v>5.3297892746554136E-3</v>
      </c>
      <c r="D357" s="41">
        <v>2509</v>
      </c>
      <c r="E357" s="42">
        <v>2.0429084045854298E-3</v>
      </c>
      <c r="F357" s="49">
        <v>260.89222907362773</v>
      </c>
      <c r="G357" s="45">
        <v>160.89222907362773</v>
      </c>
    </row>
    <row r="358" spans="1:7" ht="15" customHeight="1" x14ac:dyDescent="0.35">
      <c r="A358" s="166" t="s">
        <v>815</v>
      </c>
      <c r="B358" s="50">
        <v>2762</v>
      </c>
      <c r="C358" s="214">
        <v>1.2614291325276994E-2</v>
      </c>
      <c r="D358" s="41">
        <v>4314</v>
      </c>
      <c r="E358" s="42">
        <v>3.5125973923401926E-3</v>
      </c>
      <c r="F358" s="63">
        <v>359.11577434933395</v>
      </c>
      <c r="G358" s="91">
        <v>259.11577434933395</v>
      </c>
    </row>
    <row r="359" spans="1:7" ht="15" customHeight="1" x14ac:dyDescent="0.35">
      <c r="A359" s="166" t="s">
        <v>816</v>
      </c>
      <c r="B359" s="50">
        <v>2239</v>
      </c>
      <c r="C359" s="214">
        <v>1.022570538642114E-2</v>
      </c>
      <c r="D359" s="41">
        <v>3687</v>
      </c>
      <c r="E359" s="42">
        <v>3.0020738492253802E-3</v>
      </c>
      <c r="F359" s="49">
        <v>340.62138041872822</v>
      </c>
      <c r="G359" s="45">
        <v>240.62138041872822</v>
      </c>
    </row>
    <row r="360" spans="1:7" ht="15" customHeight="1" x14ac:dyDescent="0.35">
      <c r="A360" s="166" t="s">
        <v>817</v>
      </c>
      <c r="B360" s="50">
        <v>4115</v>
      </c>
      <c r="C360" s="214">
        <v>1.8793558582011163E-2</v>
      </c>
      <c r="D360" s="41">
        <v>8312</v>
      </c>
      <c r="E360" s="42">
        <v>6.7678974328075295E-3</v>
      </c>
      <c r="F360" s="49">
        <v>277.68681142992773</v>
      </c>
      <c r="G360" s="45">
        <v>177.68681142992773</v>
      </c>
    </row>
    <row r="361" spans="1:7" ht="15" customHeight="1" x14ac:dyDescent="0.35">
      <c r="A361" s="166" t="s">
        <v>818</v>
      </c>
      <c r="B361" s="50">
        <v>840</v>
      </c>
      <c r="C361" s="214">
        <v>3.8363521771298606E-3</v>
      </c>
      <c r="D361" s="41">
        <v>2149</v>
      </c>
      <c r="E361" s="42">
        <v>1.7497848391606569E-3</v>
      </c>
      <c r="F361" s="49">
        <v>219.24708062792999</v>
      </c>
      <c r="G361" s="45">
        <v>119.24708062792999</v>
      </c>
    </row>
    <row r="362" spans="1:7" ht="15" customHeight="1" x14ac:dyDescent="0.35">
      <c r="A362" s="166" t="s">
        <v>819</v>
      </c>
      <c r="B362" s="50">
        <v>14</v>
      </c>
      <c r="C362" s="214">
        <v>6.3939202952164337E-5</v>
      </c>
      <c r="D362" s="41">
        <v>33</v>
      </c>
      <c r="E362" s="42">
        <v>2.6869660163937496E-5</v>
      </c>
      <c r="F362" s="49">
        <v>237.96059407546539</v>
      </c>
      <c r="G362" s="45">
        <v>137.96059407546539</v>
      </c>
    </row>
    <row r="363" spans="1:7" ht="15" customHeight="1" x14ac:dyDescent="0.35">
      <c r="A363" s="166" t="s">
        <v>820</v>
      </c>
      <c r="B363" s="50">
        <v>590</v>
      </c>
      <c r="C363" s="214">
        <v>2.6945806958412117E-3</v>
      </c>
      <c r="D363" s="41">
        <v>1390</v>
      </c>
      <c r="E363" s="42">
        <v>1.1317826553900946E-3</v>
      </c>
      <c r="F363" s="49">
        <v>238.0828759840345</v>
      </c>
      <c r="G363" s="45">
        <v>138.0828759840345</v>
      </c>
    </row>
    <row r="364" spans="1:7" ht="15" customHeight="1" x14ac:dyDescent="0.35">
      <c r="A364" s="166" t="s">
        <v>821</v>
      </c>
      <c r="B364" s="50">
        <v>85</v>
      </c>
      <c r="C364" s="214">
        <v>3.8820230363814065E-4</v>
      </c>
      <c r="D364" s="41">
        <v>154</v>
      </c>
      <c r="E364" s="42">
        <v>1.2539174743170833E-4</v>
      </c>
      <c r="F364" s="49">
        <v>309.5915892308351</v>
      </c>
      <c r="G364" s="45">
        <v>209.5915892308351</v>
      </c>
    </row>
    <row r="365" spans="1:7" ht="15" customHeight="1" x14ac:dyDescent="0.35">
      <c r="A365" s="166" t="s">
        <v>822</v>
      </c>
      <c r="B365" s="50">
        <v>302</v>
      </c>
      <c r="C365" s="214">
        <v>1.3792599493966879E-3</v>
      </c>
      <c r="D365" s="41">
        <v>614</v>
      </c>
      <c r="E365" s="42">
        <v>4.9993852547447341E-4</v>
      </c>
      <c r="F365" s="49">
        <v>275.88590979014521</v>
      </c>
      <c r="G365" s="45">
        <v>175.88590979014521</v>
      </c>
    </row>
    <row r="366" spans="1:7" ht="15" customHeight="1" x14ac:dyDescent="0.35">
      <c r="A366" s="166" t="s">
        <v>823</v>
      </c>
      <c r="B366" s="50">
        <v>131</v>
      </c>
      <c r="C366" s="214">
        <v>5.9828825619525207E-4</v>
      </c>
      <c r="D366" s="41">
        <v>335</v>
      </c>
      <c r="E366" s="42">
        <v>2.7276776227027461E-4</v>
      </c>
      <c r="F366" s="49">
        <v>219.33979705506118</v>
      </c>
      <c r="G366" s="45">
        <v>119.33979705506118</v>
      </c>
    </row>
    <row r="367" spans="1:7" ht="15" customHeight="1" x14ac:dyDescent="0.35">
      <c r="A367" s="166" t="s">
        <v>824</v>
      </c>
      <c r="B367" s="50">
        <v>215</v>
      </c>
      <c r="C367" s="214">
        <v>9.8192347390823817E-4</v>
      </c>
      <c r="D367" s="41">
        <v>682</v>
      </c>
      <c r="E367" s="42">
        <v>5.5530631005470824E-4</v>
      </c>
      <c r="F367" s="49">
        <v>176.82555665745991</v>
      </c>
      <c r="G367" s="45">
        <v>76.825556657459913</v>
      </c>
    </row>
    <row r="368" spans="1:7" ht="15" customHeight="1" x14ac:dyDescent="0.35">
      <c r="A368" s="166" t="s">
        <v>825</v>
      </c>
      <c r="B368" s="50">
        <v>8</v>
      </c>
      <c r="C368" s="214">
        <v>3.6536687401236766E-5</v>
      </c>
      <c r="D368" s="41">
        <v>43</v>
      </c>
      <c r="E368" s="42">
        <v>3.5011981425736734E-5</v>
      </c>
      <c r="F368" s="63">
        <v>104.35481201980544</v>
      </c>
      <c r="G368" s="91">
        <v>4.3548120198054363</v>
      </c>
    </row>
    <row r="369" spans="1:7" ht="15" customHeight="1" x14ac:dyDescent="0.35">
      <c r="A369" s="166" t="s">
        <v>757</v>
      </c>
      <c r="B369" s="50">
        <v>513</v>
      </c>
      <c r="C369" s="214">
        <v>2.3429150796043076E-3</v>
      </c>
      <c r="D369" s="41">
        <v>1228</v>
      </c>
      <c r="E369" s="42">
        <v>9.9987705094894681E-4</v>
      </c>
      <c r="F369" s="49">
        <v>234.32031742110016</v>
      </c>
      <c r="G369" s="45">
        <v>134.32031742110016</v>
      </c>
    </row>
    <row r="370" spans="1:7" ht="15" customHeight="1" x14ac:dyDescent="0.35">
      <c r="A370" s="62" t="s">
        <v>2</v>
      </c>
      <c r="B370" s="226">
        <v>218958</v>
      </c>
      <c r="C370" s="225"/>
      <c r="D370" s="224">
        <v>1228151</v>
      </c>
      <c r="E370" s="225"/>
      <c r="F370" s="58"/>
      <c r="G370" s="46"/>
    </row>
    <row r="371" spans="1:7" ht="15" customHeight="1" x14ac:dyDescent="0.35">
      <c r="A371" s="56"/>
      <c r="B371" s="82"/>
      <c r="C371" s="213"/>
      <c r="D371" s="82"/>
      <c r="E371" s="82"/>
      <c r="F371" s="82"/>
      <c r="G371" s="83"/>
    </row>
    <row r="372" spans="1:7" ht="40" customHeight="1" x14ac:dyDescent="0.35">
      <c r="A372" s="249" t="s">
        <v>853</v>
      </c>
      <c r="B372" s="227" t="s">
        <v>890</v>
      </c>
      <c r="C372" s="243" t="s">
        <v>890</v>
      </c>
      <c r="D372" s="227" t="s">
        <v>891</v>
      </c>
      <c r="E372" s="228" t="s">
        <v>891</v>
      </c>
      <c r="F372" s="235" t="s">
        <v>1</v>
      </c>
      <c r="G372" s="236" t="s">
        <v>1</v>
      </c>
    </row>
    <row r="373" spans="1:7" ht="15" customHeight="1" x14ac:dyDescent="0.35">
      <c r="A373" s="239" t="s">
        <v>866</v>
      </c>
      <c r="B373" s="35" t="s">
        <v>73</v>
      </c>
      <c r="C373" s="36" t="s">
        <v>74</v>
      </c>
      <c r="D373" s="34" t="s">
        <v>73</v>
      </c>
      <c r="E373" s="36" t="s">
        <v>74</v>
      </c>
      <c r="F373" s="237" t="s">
        <v>864</v>
      </c>
      <c r="G373" s="238" t="s">
        <v>865</v>
      </c>
    </row>
    <row r="374" spans="1:7" ht="15" customHeight="1" x14ac:dyDescent="0.35">
      <c r="A374" s="84" t="s">
        <v>790</v>
      </c>
      <c r="B374" s="50">
        <v>183887</v>
      </c>
      <c r="C374" s="214">
        <v>0.83982772951890305</v>
      </c>
      <c r="D374" s="41">
        <v>1146380</v>
      </c>
      <c r="E374" s="42">
        <v>0.93341942481014151</v>
      </c>
      <c r="F374" s="49">
        <v>89.97324323840003</v>
      </c>
      <c r="G374" s="45">
        <v>-10.02675676159997</v>
      </c>
    </row>
    <row r="375" spans="1:7" ht="15" customHeight="1" x14ac:dyDescent="0.35">
      <c r="A375" s="84" t="s">
        <v>792</v>
      </c>
      <c r="B375" s="50">
        <v>6125</v>
      </c>
      <c r="C375" s="214">
        <v>2.79734012915719E-2</v>
      </c>
      <c r="D375" s="41">
        <v>16495</v>
      </c>
      <c r="E375" s="42">
        <v>1.3430758921337849E-2</v>
      </c>
      <c r="F375" s="49">
        <v>208.27863455377579</v>
      </c>
      <c r="G375" s="45">
        <v>108.27863455377579</v>
      </c>
    </row>
    <row r="376" spans="1:7" ht="15" customHeight="1" x14ac:dyDescent="0.35">
      <c r="A376" s="84" t="s">
        <v>847</v>
      </c>
      <c r="B376" s="50">
        <v>1886</v>
      </c>
      <c r="C376" s="214">
        <v>1.4669479991596561E-2</v>
      </c>
      <c r="D376" s="41">
        <v>7734</v>
      </c>
      <c r="E376" s="42">
        <v>6.2972712638755335E-3</v>
      </c>
      <c r="F376" s="49">
        <v>232.94978692991086</v>
      </c>
      <c r="G376" s="45">
        <v>132.94978692991086</v>
      </c>
    </row>
    <row r="377" spans="1:7" ht="15" customHeight="1" x14ac:dyDescent="0.35">
      <c r="A377" s="84" t="s">
        <v>648</v>
      </c>
      <c r="B377" s="50">
        <v>2251</v>
      </c>
      <c r="C377" s="214">
        <v>1.0280510417522995E-2</v>
      </c>
      <c r="D377" s="41">
        <v>4115</v>
      </c>
      <c r="E377" s="42">
        <v>3.3505651992303876E-3</v>
      </c>
      <c r="F377" s="49">
        <v>306.82914094268006</v>
      </c>
      <c r="G377" s="45">
        <v>206.82914094268006</v>
      </c>
    </row>
    <row r="378" spans="1:7" ht="15" customHeight="1" x14ac:dyDescent="0.35">
      <c r="A378" s="84" t="s">
        <v>765</v>
      </c>
      <c r="B378" s="50">
        <v>1974</v>
      </c>
      <c r="C378" s="214">
        <v>9.0154276162551714E-3</v>
      </c>
      <c r="D378" s="41">
        <v>6364</v>
      </c>
      <c r="E378" s="42">
        <v>5.1817732510090371E-3</v>
      </c>
      <c r="F378" s="49">
        <v>173.98344503977694</v>
      </c>
      <c r="G378" s="45">
        <v>73.983445039776939</v>
      </c>
    </row>
    <row r="379" spans="1:7" ht="15" customHeight="1" x14ac:dyDescent="0.35">
      <c r="A379" s="84" t="s">
        <v>795</v>
      </c>
      <c r="B379" s="50">
        <v>1721</v>
      </c>
      <c r="C379" s="214">
        <v>7.85995487719106E-3</v>
      </c>
      <c r="D379" s="41">
        <v>2497</v>
      </c>
      <c r="E379" s="42">
        <v>2.0331376190712703E-3</v>
      </c>
      <c r="F379" s="49">
        <v>386.59236853732796</v>
      </c>
      <c r="G379" s="45">
        <v>286.59236853732796</v>
      </c>
    </row>
    <row r="380" spans="1:7" ht="15" customHeight="1" x14ac:dyDescent="0.35">
      <c r="A380" s="84" t="s">
        <v>647</v>
      </c>
      <c r="B380" s="50">
        <v>1706</v>
      </c>
      <c r="C380" s="214">
        <v>7.7914485883137409E-3</v>
      </c>
      <c r="D380" s="41">
        <v>2704</v>
      </c>
      <c r="E380" s="42">
        <v>2.2016836691905149E-3</v>
      </c>
      <c r="F380" s="49">
        <v>353.88592363853951</v>
      </c>
      <c r="G380" s="45">
        <v>253.88592363853951</v>
      </c>
    </row>
    <row r="381" spans="1:7" ht="15" customHeight="1" x14ac:dyDescent="0.35">
      <c r="A381" s="84" t="s">
        <v>851</v>
      </c>
      <c r="B381" s="50">
        <v>1666</v>
      </c>
      <c r="C381" s="214">
        <v>7.6087651513075567E-3</v>
      </c>
      <c r="D381" s="41">
        <v>4406</v>
      </c>
      <c r="E381" s="42">
        <v>3.5875067479487458E-3</v>
      </c>
      <c r="F381" s="49">
        <v>212.09061573634878</v>
      </c>
      <c r="G381" s="45">
        <v>112.09061573634878</v>
      </c>
    </row>
    <row r="382" spans="1:7" ht="15" customHeight="1" x14ac:dyDescent="0.35">
      <c r="A382" s="84" t="s">
        <v>846</v>
      </c>
      <c r="B382" s="50">
        <v>1326</v>
      </c>
      <c r="C382" s="214">
        <v>6.0559559367549939E-3</v>
      </c>
      <c r="D382" s="41">
        <v>2341</v>
      </c>
      <c r="E382" s="42">
        <v>1.9061174073872025E-3</v>
      </c>
      <c r="F382" s="49">
        <v>317.71159075957212</v>
      </c>
      <c r="G382" s="45">
        <v>217.71159075957212</v>
      </c>
    </row>
    <row r="383" spans="1:7" ht="15" customHeight="1" x14ac:dyDescent="0.35">
      <c r="A383" s="84" t="s">
        <v>762</v>
      </c>
      <c r="B383" s="50">
        <v>1325</v>
      </c>
      <c r="C383" s="214">
        <v>6.0513888508298393E-3</v>
      </c>
      <c r="D383" s="41">
        <v>2404</v>
      </c>
      <c r="E383" s="42">
        <v>1.9574140313365377E-3</v>
      </c>
      <c r="F383" s="63">
        <v>309.15221582926449</v>
      </c>
      <c r="G383" s="91">
        <v>209.15221582926449</v>
      </c>
    </row>
    <row r="384" spans="1:7" ht="15" customHeight="1" x14ac:dyDescent="0.35">
      <c r="A384" s="84" t="s">
        <v>794</v>
      </c>
      <c r="B384" s="50">
        <v>1074</v>
      </c>
      <c r="C384" s="214">
        <v>4.9050502836160362E-3</v>
      </c>
      <c r="D384" s="41">
        <v>3587</v>
      </c>
      <c r="E384" s="42">
        <v>2.9206506366073878E-3</v>
      </c>
      <c r="F384" s="49">
        <v>167.94375274249563</v>
      </c>
      <c r="G384" s="45">
        <v>67.943752742495633</v>
      </c>
    </row>
    <row r="385" spans="1:7" ht="15" customHeight="1" x14ac:dyDescent="0.35">
      <c r="A385" s="84" t="s">
        <v>763</v>
      </c>
      <c r="B385" s="50">
        <v>1006</v>
      </c>
      <c r="C385" s="214">
        <v>4.5944884407055232E-3</v>
      </c>
      <c r="D385" s="41">
        <v>1940</v>
      </c>
      <c r="E385" s="42">
        <v>1.5796103247890528E-3</v>
      </c>
      <c r="F385" s="49">
        <v>290.86214293509943</v>
      </c>
      <c r="G385" s="45">
        <v>190.86214293509943</v>
      </c>
    </row>
    <row r="386" spans="1:7" ht="15" customHeight="1" x14ac:dyDescent="0.35">
      <c r="A386" s="84" t="s">
        <v>766</v>
      </c>
      <c r="B386" s="50">
        <v>969</v>
      </c>
      <c r="C386" s="214">
        <v>4.4255062614748037E-3</v>
      </c>
      <c r="D386" s="41">
        <v>3115</v>
      </c>
      <c r="E386" s="42">
        <v>2.5363330730504637E-3</v>
      </c>
      <c r="F386" s="49">
        <v>174.48442826762573</v>
      </c>
      <c r="G386" s="45">
        <v>74.484428267625731</v>
      </c>
    </row>
    <row r="387" spans="1:7" ht="15" customHeight="1" x14ac:dyDescent="0.35">
      <c r="A387" s="84" t="s">
        <v>793</v>
      </c>
      <c r="B387" s="50">
        <v>889</v>
      </c>
      <c r="C387" s="214">
        <v>4.0601393874624353E-3</v>
      </c>
      <c r="D387" s="41">
        <v>1424</v>
      </c>
      <c r="E387" s="42">
        <v>1.159466547680212E-3</v>
      </c>
      <c r="F387" s="49">
        <v>350.17305118338322</v>
      </c>
      <c r="G387" s="45">
        <v>250.17305118338322</v>
      </c>
    </row>
    <row r="388" spans="1:7" ht="15" customHeight="1" x14ac:dyDescent="0.35">
      <c r="A388" s="84" t="s">
        <v>649</v>
      </c>
      <c r="B388" s="50">
        <v>821</v>
      </c>
      <c r="C388" s="214">
        <v>3.7495775445519231E-3</v>
      </c>
      <c r="D388" s="41">
        <v>1732</v>
      </c>
      <c r="E388" s="42">
        <v>1.4102500425436286E-3</v>
      </c>
      <c r="F388" s="49">
        <v>265.88033550340583</v>
      </c>
      <c r="G388" s="45">
        <v>165.88033550340583</v>
      </c>
    </row>
    <row r="389" spans="1:7" ht="15" customHeight="1" x14ac:dyDescent="0.35">
      <c r="A389" s="84" t="s">
        <v>769</v>
      </c>
      <c r="B389" s="50">
        <v>656</v>
      </c>
      <c r="C389" s="214">
        <v>2.9960083669014147E-3</v>
      </c>
      <c r="D389" s="41">
        <v>1431</v>
      </c>
      <c r="E389" s="42">
        <v>1.1651661725634714E-3</v>
      </c>
      <c r="F389" s="49">
        <v>257.13142360715165</v>
      </c>
      <c r="G389" s="45">
        <v>157.13142360715165</v>
      </c>
    </row>
    <row r="390" spans="1:7" ht="15" customHeight="1" x14ac:dyDescent="0.35">
      <c r="A390" s="84" t="s">
        <v>646</v>
      </c>
      <c r="B390" s="50">
        <v>549</v>
      </c>
      <c r="C390" s="214">
        <v>2.5073301729098729E-3</v>
      </c>
      <c r="D390" s="41">
        <v>1183</v>
      </c>
      <c r="E390" s="42">
        <v>9.6323660527085028E-4</v>
      </c>
      <c r="F390" s="49">
        <v>260.30262545979997</v>
      </c>
      <c r="G390" s="45">
        <v>160.30262545979997</v>
      </c>
    </row>
    <row r="391" spans="1:7" ht="15" customHeight="1" x14ac:dyDescent="0.35">
      <c r="A391" s="84" t="s">
        <v>796</v>
      </c>
      <c r="B391" s="50">
        <v>478</v>
      </c>
      <c r="C391" s="214">
        <v>2.1830670722238969E-3</v>
      </c>
      <c r="D391" s="41">
        <v>987</v>
      </c>
      <c r="E391" s="42">
        <v>8.0364710853958509E-4</v>
      </c>
      <c r="F391" s="49">
        <v>271.64498559461509</v>
      </c>
      <c r="G391" s="45">
        <v>171.64498559461509</v>
      </c>
    </row>
    <row r="392" spans="1:7" ht="15" customHeight="1" x14ac:dyDescent="0.35">
      <c r="A392" s="84" t="s">
        <v>760</v>
      </c>
      <c r="B392" s="50">
        <v>450</v>
      </c>
      <c r="C392" s="214">
        <v>2.055188666319568E-3</v>
      </c>
      <c r="D392" s="41">
        <v>940</v>
      </c>
      <c r="E392" s="42">
        <v>7.6537819860912864E-4</v>
      </c>
      <c r="F392" s="49">
        <v>268.5193633754302</v>
      </c>
      <c r="G392" s="45">
        <v>168.5193633754302</v>
      </c>
    </row>
    <row r="393" spans="1:7" ht="15" customHeight="1" x14ac:dyDescent="0.35">
      <c r="A393" s="84" t="s">
        <v>775</v>
      </c>
      <c r="B393" s="50">
        <v>424</v>
      </c>
      <c r="C393" s="214">
        <v>1.9364444322655487E-3</v>
      </c>
      <c r="D393" s="41">
        <v>681</v>
      </c>
      <c r="E393" s="42">
        <v>5.5449207792852828E-4</v>
      </c>
      <c r="F393" s="63">
        <v>349.22851188419475</v>
      </c>
      <c r="G393" s="91">
        <v>249.22851188419475</v>
      </c>
    </row>
    <row r="394" spans="1:7" x14ac:dyDescent="0.35">
      <c r="A394" s="62" t="s">
        <v>2</v>
      </c>
      <c r="B394" s="226">
        <v>218958</v>
      </c>
      <c r="C394" s="225"/>
      <c r="D394" s="224">
        <v>1228151</v>
      </c>
      <c r="E394" s="225"/>
      <c r="F394" s="58"/>
      <c r="G394" s="46"/>
    </row>
    <row r="395" spans="1:7" s="171" customFormat="1" ht="13.5" customHeight="1" x14ac:dyDescent="0.3">
      <c r="A395" s="285" t="s">
        <v>904</v>
      </c>
      <c r="B395" s="285"/>
      <c r="C395" s="285"/>
      <c r="D395" s="285"/>
      <c r="E395" s="285"/>
      <c r="F395" s="285"/>
      <c r="G395" s="285"/>
    </row>
    <row r="396" spans="1:7" s="171" customFormat="1" ht="13.5" customHeight="1" x14ac:dyDescent="0.3">
      <c r="A396" s="281"/>
      <c r="B396" s="281"/>
      <c r="C396" s="281"/>
      <c r="D396" s="281"/>
      <c r="E396" s="281"/>
      <c r="F396" s="281"/>
      <c r="G396" s="281"/>
    </row>
    <row r="397" spans="1:7" s="171" customFormat="1" ht="13.5" customHeight="1" x14ac:dyDescent="0.3">
      <c r="A397" s="281"/>
      <c r="B397" s="281"/>
      <c r="C397" s="281"/>
      <c r="D397" s="281"/>
      <c r="E397" s="281"/>
      <c r="F397" s="281"/>
      <c r="G397" s="281"/>
    </row>
    <row r="398" spans="1:7" s="171" customFormat="1" ht="13.5" customHeight="1" x14ac:dyDescent="0.3">
      <c r="A398" s="281"/>
      <c r="B398" s="281"/>
      <c r="C398" s="281"/>
      <c r="D398" s="281"/>
      <c r="E398" s="281"/>
      <c r="F398" s="281"/>
      <c r="G398" s="281"/>
    </row>
    <row r="399" spans="1:7" s="171" customFormat="1" ht="13.5" customHeight="1" x14ac:dyDescent="0.3">
      <c r="A399" s="281"/>
      <c r="B399" s="281"/>
      <c r="C399" s="281"/>
      <c r="D399" s="281"/>
      <c r="E399" s="281"/>
      <c r="F399" s="281"/>
      <c r="G399" s="281"/>
    </row>
    <row r="400" spans="1:7" ht="15" customHeight="1" x14ac:dyDescent="0.35">
      <c r="A400" s="140" t="s">
        <v>458</v>
      </c>
      <c r="B400" s="9"/>
      <c r="C400" s="210"/>
      <c r="D400" s="9"/>
      <c r="E400" s="9"/>
      <c r="F400" s="9"/>
    </row>
    <row r="401" spans="1:7" x14ac:dyDescent="0.35">
      <c r="A401" s="11" t="s">
        <v>503</v>
      </c>
      <c r="B401" s="11"/>
      <c r="C401" s="209"/>
      <c r="D401" s="11"/>
      <c r="E401" s="11"/>
      <c r="F401" s="11"/>
      <c r="G401" s="56"/>
    </row>
    <row r="402" spans="1:7" ht="40" customHeight="1" x14ac:dyDescent="0.35">
      <c r="A402" s="249" t="s">
        <v>503</v>
      </c>
      <c r="B402" s="227" t="s">
        <v>890</v>
      </c>
      <c r="C402" s="243" t="s">
        <v>890</v>
      </c>
      <c r="D402" s="227" t="s">
        <v>891</v>
      </c>
      <c r="E402" s="228" t="s">
        <v>891</v>
      </c>
      <c r="F402" s="235" t="s">
        <v>1</v>
      </c>
      <c r="G402" s="236" t="s">
        <v>1</v>
      </c>
    </row>
    <row r="403" spans="1:7" x14ac:dyDescent="0.35">
      <c r="A403" s="239" t="s">
        <v>866</v>
      </c>
      <c r="B403" s="35" t="s">
        <v>73</v>
      </c>
      <c r="C403" s="36" t="s">
        <v>74</v>
      </c>
      <c r="D403" s="34" t="s">
        <v>73</v>
      </c>
      <c r="E403" s="36" t="s">
        <v>74</v>
      </c>
      <c r="F403" s="237" t="s">
        <v>864</v>
      </c>
      <c r="G403" s="238" t="s">
        <v>865</v>
      </c>
    </row>
    <row r="404" spans="1:7" x14ac:dyDescent="0.35">
      <c r="A404" s="70" t="s">
        <v>504</v>
      </c>
      <c r="B404" s="67">
        <v>65807</v>
      </c>
      <c r="C404" s="48">
        <v>0.31066535741599238</v>
      </c>
      <c r="D404" s="67">
        <v>253988</v>
      </c>
      <c r="E404" s="48">
        <v>0.21532289787447609</v>
      </c>
      <c r="F404" s="49">
        <v>144.27882983308947</v>
      </c>
      <c r="G404" s="45">
        <v>44.278829833089475</v>
      </c>
    </row>
    <row r="405" spans="1:7" x14ac:dyDescent="0.35">
      <c r="A405" s="143" t="s">
        <v>517</v>
      </c>
      <c r="B405" s="67">
        <v>16629.34796039452</v>
      </c>
      <c r="C405" s="48">
        <v>7.8504753714815551E-2</v>
      </c>
      <c r="D405" s="67">
        <v>105234.92042372342</v>
      </c>
      <c r="E405" s="48">
        <v>8.9214797640935858E-2</v>
      </c>
      <c r="F405" s="49">
        <v>87.9952158057622</v>
      </c>
      <c r="G405" s="45">
        <v>-12.0047841942378</v>
      </c>
    </row>
    <row r="406" spans="1:7" x14ac:dyDescent="0.35">
      <c r="A406" s="105" t="s">
        <v>518</v>
      </c>
      <c r="B406" s="67">
        <v>11179.85537561313</v>
      </c>
      <c r="C406" s="48">
        <v>5.2778485056665048E-2</v>
      </c>
      <c r="D406" s="67">
        <v>73150.75684405514</v>
      </c>
      <c r="E406" s="48">
        <v>6.2014870566220119E-2</v>
      </c>
      <c r="F406" s="49">
        <v>85.106176268331694</v>
      </c>
      <c r="G406" s="45">
        <v>-14.893823731668306</v>
      </c>
    </row>
    <row r="407" spans="1:7" ht="27" x14ac:dyDescent="0.35">
      <c r="A407" s="105" t="s">
        <v>507</v>
      </c>
      <c r="B407" s="67">
        <v>37997.796663992354</v>
      </c>
      <c r="C407" s="48">
        <v>0.17938211864451178</v>
      </c>
      <c r="D407" s="67">
        <v>75602.322732221452</v>
      </c>
      <c r="E407" s="48">
        <v>6.4093229667320117E-2</v>
      </c>
      <c r="F407" s="49">
        <v>279.87685996727862</v>
      </c>
      <c r="G407" s="45">
        <v>179.87685996727862</v>
      </c>
    </row>
    <row r="408" spans="1:7" x14ac:dyDescent="0.35">
      <c r="A408" s="78" t="s">
        <v>505</v>
      </c>
      <c r="B408" s="67">
        <v>146019</v>
      </c>
      <c r="C408" s="48">
        <v>0.68933464258400767</v>
      </c>
      <c r="D408" s="67">
        <v>925580</v>
      </c>
      <c r="E408" s="48">
        <v>0.78467710212552388</v>
      </c>
      <c r="F408" s="49">
        <v>87.849465814249754</v>
      </c>
      <c r="G408" s="45">
        <v>-12.150534185750246</v>
      </c>
    </row>
    <row r="409" spans="1:7" x14ac:dyDescent="0.35">
      <c r="A409" s="62" t="s">
        <v>506</v>
      </c>
      <c r="B409" s="226">
        <v>211826</v>
      </c>
      <c r="C409" s="225"/>
      <c r="D409" s="226">
        <v>1179568</v>
      </c>
      <c r="E409" s="225"/>
      <c r="F409" s="58"/>
      <c r="G409" s="46"/>
    </row>
    <row r="410" spans="1:7" ht="45" customHeight="1" x14ac:dyDescent="0.35">
      <c r="A410" s="287" t="s">
        <v>519</v>
      </c>
      <c r="B410" s="287"/>
      <c r="C410" s="287"/>
      <c r="D410" s="287"/>
      <c r="E410" s="287"/>
      <c r="F410" s="287"/>
      <c r="G410" s="287"/>
    </row>
    <row r="411" spans="1:7" x14ac:dyDescent="0.35">
      <c r="A411" s="14"/>
      <c r="B411" s="2"/>
      <c r="C411" s="211"/>
    </row>
    <row r="412" spans="1:7" ht="15" customHeight="1" x14ac:dyDescent="0.35">
      <c r="A412" s="9" t="s">
        <v>112</v>
      </c>
      <c r="B412" s="9"/>
      <c r="C412" s="210"/>
      <c r="D412" s="9"/>
      <c r="E412" s="9"/>
      <c r="F412" s="9"/>
    </row>
    <row r="413" spans="1:7" ht="40" customHeight="1" x14ac:dyDescent="0.35">
      <c r="A413" s="249" t="s">
        <v>113</v>
      </c>
      <c r="B413" s="227" t="s">
        <v>890</v>
      </c>
      <c r="C413" s="243" t="s">
        <v>890</v>
      </c>
      <c r="D413" s="227" t="s">
        <v>891</v>
      </c>
      <c r="E413" s="228" t="s">
        <v>891</v>
      </c>
      <c r="F413" s="235" t="s">
        <v>1</v>
      </c>
      <c r="G413" s="236" t="s">
        <v>1</v>
      </c>
    </row>
    <row r="414" spans="1:7" ht="14.5" customHeight="1" x14ac:dyDescent="0.35">
      <c r="A414" s="239" t="s">
        <v>866</v>
      </c>
      <c r="B414" s="35" t="s">
        <v>73</v>
      </c>
      <c r="C414" s="36" t="s">
        <v>74</v>
      </c>
      <c r="D414" s="34" t="s">
        <v>73</v>
      </c>
      <c r="E414" s="36" t="s">
        <v>74</v>
      </c>
      <c r="F414" s="237" t="s">
        <v>864</v>
      </c>
      <c r="G414" s="238" t="s">
        <v>865</v>
      </c>
    </row>
    <row r="415" spans="1:7" x14ac:dyDescent="0.35">
      <c r="A415" s="72" t="s">
        <v>31</v>
      </c>
      <c r="B415" s="67">
        <v>29009</v>
      </c>
      <c r="C415" s="48">
        <v>0.15592045149153452</v>
      </c>
      <c r="D415" s="50">
        <v>200761</v>
      </c>
      <c r="E415" s="48">
        <v>0.19770293106232792</v>
      </c>
      <c r="F415" s="49">
        <v>78.866029276206817</v>
      </c>
      <c r="G415" s="45">
        <v>-21.133970723793183</v>
      </c>
    </row>
    <row r="416" spans="1:7" ht="28.9" customHeight="1" x14ac:dyDescent="0.35">
      <c r="A416" s="72" t="s">
        <v>114</v>
      </c>
      <c r="B416" s="67">
        <v>11400</v>
      </c>
      <c r="C416" s="42">
        <v>6.1273851115291586E-2</v>
      </c>
      <c r="D416" s="50">
        <v>87095</v>
      </c>
      <c r="E416" s="42">
        <v>8.5768335388215086E-2</v>
      </c>
      <c r="F416" s="49">
        <v>71.441110332789393</v>
      </c>
      <c r="G416" s="45">
        <v>-28.558889667210607</v>
      </c>
    </row>
    <row r="417" spans="1:7" ht="27" x14ac:dyDescent="0.35">
      <c r="A417" s="72" t="s">
        <v>115</v>
      </c>
      <c r="B417" s="67">
        <v>18335</v>
      </c>
      <c r="C417" s="42">
        <v>9.8548777210427305E-2</v>
      </c>
      <c r="D417" s="50">
        <v>139276</v>
      </c>
      <c r="E417" s="42">
        <v>0.13715449428243923</v>
      </c>
      <c r="F417" s="49">
        <v>71.8523864099473</v>
      </c>
      <c r="G417" s="45">
        <v>-28.1476135900527</v>
      </c>
    </row>
    <row r="418" spans="1:7" x14ac:dyDescent="0.35">
      <c r="A418" s="72" t="s">
        <v>116</v>
      </c>
      <c r="B418" s="67">
        <v>6612</v>
      </c>
      <c r="C418" s="42">
        <v>3.553883364686912E-2</v>
      </c>
      <c r="D418" s="50">
        <v>49935</v>
      </c>
      <c r="E418" s="42">
        <v>4.917437083197107E-2</v>
      </c>
      <c r="F418" s="49">
        <v>72.271049015157487</v>
      </c>
      <c r="G418" s="45">
        <v>-27.728950984842513</v>
      </c>
    </row>
    <row r="419" spans="1:7" ht="27" x14ac:dyDescent="0.35">
      <c r="A419" s="72" t="s">
        <v>117</v>
      </c>
      <c r="B419" s="67">
        <v>41107</v>
      </c>
      <c r="C419" s="42">
        <v>0.22094598226283257</v>
      </c>
      <c r="D419" s="50">
        <v>176520</v>
      </c>
      <c r="E419" s="42">
        <v>0.17383117931830447</v>
      </c>
      <c r="F419" s="49">
        <v>127.10376995041585</v>
      </c>
      <c r="G419" s="45">
        <v>27.103769950415852</v>
      </c>
    </row>
    <row r="420" spans="1:7" ht="27" x14ac:dyDescent="0.35">
      <c r="A420" s="72" t="s">
        <v>118</v>
      </c>
      <c r="B420" s="67">
        <v>74765</v>
      </c>
      <c r="C420" s="42">
        <v>0.40185434023112065</v>
      </c>
      <c r="D420" s="50">
        <v>334646</v>
      </c>
      <c r="E420" s="42">
        <v>0.32954854313479104</v>
      </c>
      <c r="F420" s="49">
        <v>121.94086382799007</v>
      </c>
      <c r="G420" s="45">
        <v>21.940863827990071</v>
      </c>
    </row>
    <row r="421" spans="1:7" x14ac:dyDescent="0.35">
      <c r="A421" s="73" t="s">
        <v>32</v>
      </c>
      <c r="B421" s="69">
        <v>4822</v>
      </c>
      <c r="C421" s="53">
        <v>2.5917764041924213E-2</v>
      </c>
      <c r="D421" s="50">
        <v>27235</v>
      </c>
      <c r="E421" s="53">
        <v>2.682014598195118E-2</v>
      </c>
      <c r="F421" s="49">
        <v>96.635432407287297</v>
      </c>
      <c r="G421" s="45">
        <v>-3.364567592712703</v>
      </c>
    </row>
    <row r="422" spans="1:7" x14ac:dyDescent="0.35">
      <c r="A422" s="62" t="s">
        <v>30</v>
      </c>
      <c r="B422" s="226">
        <v>186050</v>
      </c>
      <c r="C422" s="225"/>
      <c r="D422" s="226">
        <v>1015468</v>
      </c>
      <c r="E422" s="225"/>
      <c r="F422" s="58"/>
      <c r="G422" s="46"/>
    </row>
    <row r="423" spans="1:7" x14ac:dyDescent="0.35">
      <c r="A423" s="284" t="s">
        <v>140</v>
      </c>
      <c r="B423" s="284"/>
      <c r="C423" s="284"/>
      <c r="D423" s="284"/>
      <c r="E423" s="284"/>
      <c r="F423" s="284"/>
      <c r="G423" s="142"/>
    </row>
    <row r="424" spans="1:7" x14ac:dyDescent="0.35">
      <c r="A424" s="286" t="s">
        <v>141</v>
      </c>
      <c r="B424" s="286"/>
      <c r="C424" s="286"/>
      <c r="D424" s="286"/>
      <c r="E424" s="286"/>
      <c r="F424" s="286"/>
      <c r="G424" s="286"/>
    </row>
    <row r="426" spans="1:7" x14ac:dyDescent="0.35">
      <c r="A426" s="9" t="s">
        <v>219</v>
      </c>
      <c r="B426" s="11"/>
      <c r="C426" s="209"/>
      <c r="D426" s="11"/>
      <c r="E426" s="11"/>
      <c r="F426" s="11"/>
    </row>
    <row r="427" spans="1:7" ht="40" customHeight="1" x14ac:dyDescent="0.35">
      <c r="A427" s="249" t="s">
        <v>219</v>
      </c>
      <c r="B427" s="227" t="s">
        <v>890</v>
      </c>
      <c r="C427" s="243" t="s">
        <v>890</v>
      </c>
      <c r="D427" s="227" t="s">
        <v>891</v>
      </c>
      <c r="E427" s="228" t="s">
        <v>891</v>
      </c>
      <c r="F427" s="235" t="s">
        <v>1</v>
      </c>
      <c r="G427" s="236" t="s">
        <v>1</v>
      </c>
    </row>
    <row r="428" spans="1:7" x14ac:dyDescent="0.35">
      <c r="A428" s="239" t="s">
        <v>866</v>
      </c>
      <c r="B428" s="35" t="s">
        <v>73</v>
      </c>
      <c r="C428" s="36" t="s">
        <v>74</v>
      </c>
      <c r="D428" s="34" t="s">
        <v>73</v>
      </c>
      <c r="E428" s="36" t="s">
        <v>74</v>
      </c>
      <c r="F428" s="237" t="s">
        <v>864</v>
      </c>
      <c r="G428" s="238" t="s">
        <v>865</v>
      </c>
    </row>
    <row r="429" spans="1:7" x14ac:dyDescent="0.35">
      <c r="A429" s="72" t="s">
        <v>220</v>
      </c>
      <c r="B429" s="67">
        <v>66428</v>
      </c>
      <c r="C429" s="48">
        <v>0.35721084301715933</v>
      </c>
      <c r="D429" s="50">
        <v>393742</v>
      </c>
      <c r="E429" s="48">
        <v>0.38772298832917784</v>
      </c>
      <c r="F429" s="49">
        <v>92.130426559563801</v>
      </c>
      <c r="G429" s="45">
        <v>-7.8695734404361986</v>
      </c>
    </row>
    <row r="430" spans="1:7" x14ac:dyDescent="0.35">
      <c r="A430" s="72" t="s">
        <v>221</v>
      </c>
      <c r="B430" s="67">
        <v>24615</v>
      </c>
      <c r="C430" s="42">
        <v>0.13236504035749047</v>
      </c>
      <c r="D430" s="50">
        <v>145396</v>
      </c>
      <c r="E430" s="42">
        <v>0.14317337650316486</v>
      </c>
      <c r="F430" s="49">
        <v>92.450875707722474</v>
      </c>
      <c r="G430" s="45">
        <v>-7.5491242922775257</v>
      </c>
    </row>
    <row r="431" spans="1:7" x14ac:dyDescent="0.35">
      <c r="A431" s="72" t="s">
        <v>104</v>
      </c>
      <c r="B431" s="67">
        <v>5340</v>
      </c>
      <c r="C431" s="42">
        <v>2.871538962051591E-2</v>
      </c>
      <c r="D431" s="50">
        <v>26843</v>
      </c>
      <c r="E431" s="42">
        <v>2.6432659395543581E-2</v>
      </c>
      <c r="F431" s="49">
        <v>108.6360217896092</v>
      </c>
      <c r="G431" s="45">
        <v>8.6360217896092024</v>
      </c>
    </row>
    <row r="432" spans="1:7" x14ac:dyDescent="0.35">
      <c r="A432" s="72" t="s">
        <v>109</v>
      </c>
      <c r="B432" s="67">
        <v>40865</v>
      </c>
      <c r="C432" s="42">
        <v>0.21974801438995931</v>
      </c>
      <c r="D432" s="50">
        <v>92867</v>
      </c>
      <c r="E432" s="42">
        <v>9.1447371012403453E-2</v>
      </c>
      <c r="F432" s="49">
        <v>240.29998014940617</v>
      </c>
      <c r="G432" s="45">
        <v>140.29998014940617</v>
      </c>
    </row>
    <row r="433" spans="1:7" x14ac:dyDescent="0.35">
      <c r="A433" s="72" t="s">
        <v>108</v>
      </c>
      <c r="B433" s="67">
        <v>25689</v>
      </c>
      <c r="C433" s="42">
        <v>0.13814038276431334</v>
      </c>
      <c r="D433" s="50">
        <v>220263</v>
      </c>
      <c r="E433" s="42">
        <v>0.21689590792536662</v>
      </c>
      <c r="F433" s="49">
        <v>63.689713690609196</v>
      </c>
      <c r="G433" s="45">
        <v>-36.310286309390804</v>
      </c>
    </row>
    <row r="434" spans="1:7" x14ac:dyDescent="0.35">
      <c r="A434" s="72" t="s">
        <v>110</v>
      </c>
      <c r="B434" s="67">
        <v>8312</v>
      </c>
      <c r="C434" s="42">
        <v>4.4697063394331132E-2</v>
      </c>
      <c r="D434" s="50">
        <v>45427</v>
      </c>
      <c r="E434" s="42">
        <v>4.473257155911628E-2</v>
      </c>
      <c r="F434" s="49">
        <v>99.920621230688198</v>
      </c>
      <c r="G434" s="45">
        <v>-7.9378769311801989E-2</v>
      </c>
    </row>
    <row r="435" spans="1:7" x14ac:dyDescent="0.35">
      <c r="A435" s="72" t="s">
        <v>111</v>
      </c>
      <c r="B435" s="67">
        <v>8717</v>
      </c>
      <c r="C435" s="42">
        <v>4.6874915977909583E-2</v>
      </c>
      <c r="D435" s="50">
        <v>59953</v>
      </c>
      <c r="E435" s="42">
        <v>5.9036517108409056E-2</v>
      </c>
      <c r="F435" s="49">
        <v>79.399866851618185</v>
      </c>
      <c r="G435" s="45">
        <v>-20.600133148381815</v>
      </c>
    </row>
    <row r="436" spans="1:7" x14ac:dyDescent="0.35">
      <c r="A436" s="73" t="s">
        <v>99</v>
      </c>
      <c r="B436" s="69">
        <v>5997</v>
      </c>
      <c r="C436" s="53">
        <v>3.2248350478320954E-2</v>
      </c>
      <c r="D436" s="50">
        <v>31033</v>
      </c>
      <c r="E436" s="53">
        <v>3.0558608166818314E-2</v>
      </c>
      <c r="F436" s="49">
        <v>105.52951332821966</v>
      </c>
      <c r="G436" s="45">
        <v>5.5295133282196645</v>
      </c>
    </row>
    <row r="437" spans="1:7" x14ac:dyDescent="0.35">
      <c r="A437" s="62" t="s">
        <v>209</v>
      </c>
      <c r="B437" s="226">
        <v>185963</v>
      </c>
      <c r="C437" s="225"/>
      <c r="D437" s="226">
        <v>1015524</v>
      </c>
      <c r="E437" s="225"/>
      <c r="F437" s="58"/>
      <c r="G437" s="46"/>
    </row>
    <row r="438" spans="1:7" x14ac:dyDescent="0.35">
      <c r="A438" s="11"/>
      <c r="B438" s="11"/>
      <c r="C438" s="209"/>
      <c r="D438" s="11"/>
      <c r="E438" s="11"/>
      <c r="F438" s="11"/>
    </row>
    <row r="439" spans="1:7" ht="15" customHeight="1" x14ac:dyDescent="0.35">
      <c r="A439" s="9" t="s">
        <v>105</v>
      </c>
      <c r="B439" s="113"/>
      <c r="C439" s="222"/>
      <c r="D439" s="113"/>
      <c r="E439" s="113"/>
      <c r="F439" s="113"/>
    </row>
    <row r="440" spans="1:7" ht="40" customHeight="1" x14ac:dyDescent="0.35">
      <c r="A440" s="249" t="s">
        <v>106</v>
      </c>
      <c r="B440" s="227" t="s">
        <v>890</v>
      </c>
      <c r="C440" s="243" t="s">
        <v>890</v>
      </c>
      <c r="D440" s="227" t="s">
        <v>891</v>
      </c>
      <c r="E440" s="228" t="s">
        <v>891</v>
      </c>
      <c r="F440" s="235" t="s">
        <v>1</v>
      </c>
      <c r="G440" s="236" t="s">
        <v>1</v>
      </c>
    </row>
    <row r="441" spans="1:7" x14ac:dyDescent="0.35">
      <c r="A441" s="239" t="s">
        <v>866</v>
      </c>
      <c r="B441" s="35" t="s">
        <v>73</v>
      </c>
      <c r="C441" s="36" t="s">
        <v>74</v>
      </c>
      <c r="D441" s="34" t="s">
        <v>73</v>
      </c>
      <c r="E441" s="36" t="s">
        <v>74</v>
      </c>
      <c r="F441" s="237" t="s">
        <v>864</v>
      </c>
      <c r="G441" s="238" t="s">
        <v>865</v>
      </c>
    </row>
    <row r="442" spans="1:7" x14ac:dyDescent="0.35">
      <c r="A442" s="72" t="s">
        <v>21</v>
      </c>
      <c r="B442" s="67">
        <v>9848</v>
      </c>
      <c r="C442" s="48">
        <v>0.1000772326328198</v>
      </c>
      <c r="D442" s="50">
        <v>59044</v>
      </c>
      <c r="E442" s="48">
        <v>0.10591003996469904</v>
      </c>
      <c r="F442" s="49">
        <v>94.492677621665166</v>
      </c>
      <c r="G442" s="45">
        <v>-5.507322378334834</v>
      </c>
    </row>
    <row r="443" spans="1:7" x14ac:dyDescent="0.35">
      <c r="A443" s="72" t="s">
        <v>22</v>
      </c>
      <c r="B443" s="67">
        <v>26292</v>
      </c>
      <c r="C443" s="42">
        <v>0.26718426080240643</v>
      </c>
      <c r="D443" s="50">
        <v>114920</v>
      </c>
      <c r="E443" s="42">
        <v>0.20613748717470384</v>
      </c>
      <c r="F443" s="49">
        <v>129.61459095305881</v>
      </c>
      <c r="G443" s="45">
        <v>29.614590953058809</v>
      </c>
    </row>
    <row r="444" spans="1:7" ht="27" x14ac:dyDescent="0.35">
      <c r="A444" s="72" t="s">
        <v>23</v>
      </c>
      <c r="B444" s="67">
        <v>14327</v>
      </c>
      <c r="C444" s="42">
        <v>0.14559367505385959</v>
      </c>
      <c r="D444" s="50">
        <v>72824</v>
      </c>
      <c r="E444" s="42">
        <v>0.13062788344944859</v>
      </c>
      <c r="F444" s="49">
        <v>111.45681244250014</v>
      </c>
      <c r="G444" s="45">
        <v>11.456812442500137</v>
      </c>
    </row>
    <row r="445" spans="1:7" x14ac:dyDescent="0.35">
      <c r="A445" s="72" t="s">
        <v>24</v>
      </c>
      <c r="B445" s="67">
        <v>8771</v>
      </c>
      <c r="C445" s="42">
        <v>8.9132555587171258E-2</v>
      </c>
      <c r="D445" s="50">
        <v>54982</v>
      </c>
      <c r="E445" s="42">
        <v>9.8623836754608132E-2</v>
      </c>
      <c r="F445" s="49">
        <v>90.376280745340807</v>
      </c>
      <c r="G445" s="45">
        <v>-9.6237192546591928</v>
      </c>
    </row>
    <row r="446" spans="1:7" x14ac:dyDescent="0.35">
      <c r="A446" s="72" t="s">
        <v>25</v>
      </c>
      <c r="B446" s="67">
        <v>6653</v>
      </c>
      <c r="C446" s="42">
        <v>6.7609040282915325E-2</v>
      </c>
      <c r="D446" s="50">
        <v>54088</v>
      </c>
      <c r="E446" s="42">
        <v>9.7020226299211462E-2</v>
      </c>
      <c r="F446" s="49">
        <v>69.685510807208686</v>
      </c>
      <c r="G446" s="45">
        <v>-30.314489192791314</v>
      </c>
    </row>
    <row r="447" spans="1:7" x14ac:dyDescent="0.35">
      <c r="A447" s="72" t="s">
        <v>26</v>
      </c>
      <c r="B447" s="67">
        <v>8703</v>
      </c>
      <c r="C447" s="42">
        <v>8.8441526767204584E-2</v>
      </c>
      <c r="D447" s="50">
        <v>56693</v>
      </c>
      <c r="E447" s="42">
        <v>0.10169293909150266</v>
      </c>
      <c r="F447" s="49">
        <v>86.96919132962168</v>
      </c>
      <c r="G447" s="45">
        <v>-13.03080867037832</v>
      </c>
    </row>
    <row r="448" spans="1:7" x14ac:dyDescent="0.35">
      <c r="A448" s="72" t="s">
        <v>27</v>
      </c>
      <c r="B448" s="67">
        <v>9064</v>
      </c>
      <c r="C448" s="42">
        <v>9.2110076826145276E-2</v>
      </c>
      <c r="D448" s="50">
        <v>47847</v>
      </c>
      <c r="E448" s="42">
        <v>8.5825446822555301E-2</v>
      </c>
      <c r="F448" s="49">
        <v>107.32257184350405</v>
      </c>
      <c r="G448" s="45">
        <v>7.3225718435040505</v>
      </c>
    </row>
    <row r="449" spans="1:7" x14ac:dyDescent="0.35">
      <c r="A449" s="72" t="s">
        <v>28</v>
      </c>
      <c r="B449" s="67">
        <v>5033</v>
      </c>
      <c r="C449" s="42">
        <v>5.1146294866062356E-2</v>
      </c>
      <c r="D449" s="50">
        <v>40640</v>
      </c>
      <c r="E449" s="42">
        <v>7.2897907055168507E-2</v>
      </c>
      <c r="F449" s="49">
        <v>70.161540889445945</v>
      </c>
      <c r="G449" s="45">
        <v>-29.838459110554055</v>
      </c>
    </row>
    <row r="450" spans="1:7" x14ac:dyDescent="0.35">
      <c r="A450" s="73" t="s">
        <v>29</v>
      </c>
      <c r="B450" s="69">
        <v>9713</v>
      </c>
      <c r="C450" s="53">
        <v>9.8705337181415387E-2</v>
      </c>
      <c r="D450" s="50">
        <v>56454</v>
      </c>
      <c r="E450" s="53">
        <v>0.10126423338810243</v>
      </c>
      <c r="F450" s="49">
        <v>97.473050334682441</v>
      </c>
      <c r="G450" s="45">
        <v>-2.5269496653175594</v>
      </c>
    </row>
    <row r="451" spans="1:7" ht="27" x14ac:dyDescent="0.35">
      <c r="A451" s="62" t="s">
        <v>223</v>
      </c>
      <c r="B451" s="226">
        <v>98404</v>
      </c>
      <c r="C451" s="225"/>
      <c r="D451" s="226">
        <v>557492</v>
      </c>
      <c r="E451" s="225"/>
      <c r="F451" s="58"/>
      <c r="G451" s="46"/>
    </row>
    <row r="452" spans="1:7" x14ac:dyDescent="0.35">
      <c r="A452" s="11"/>
      <c r="B452" s="11"/>
      <c r="C452" s="209"/>
      <c r="D452" s="11"/>
      <c r="E452" s="11"/>
      <c r="F452" s="11"/>
    </row>
    <row r="453" spans="1:7" ht="15" customHeight="1" x14ac:dyDescent="0.35">
      <c r="A453" s="153" t="s">
        <v>208</v>
      </c>
      <c r="B453" s="9"/>
      <c r="C453" s="210"/>
      <c r="D453" s="9"/>
      <c r="E453" s="9"/>
      <c r="F453" s="9"/>
    </row>
    <row r="454" spans="1:7" ht="40" customHeight="1" x14ac:dyDescent="0.35">
      <c r="A454" s="249" t="s">
        <v>332</v>
      </c>
      <c r="B454" s="227" t="s">
        <v>890</v>
      </c>
      <c r="C454" s="243" t="s">
        <v>890</v>
      </c>
      <c r="D454" s="227" t="s">
        <v>891</v>
      </c>
      <c r="E454" s="228" t="s">
        <v>891</v>
      </c>
      <c r="F454" s="235" t="s">
        <v>1</v>
      </c>
      <c r="G454" s="236" t="s">
        <v>1</v>
      </c>
    </row>
    <row r="455" spans="1:7" x14ac:dyDescent="0.35">
      <c r="A455" s="239" t="s">
        <v>866</v>
      </c>
      <c r="B455" s="35" t="s">
        <v>73</v>
      </c>
      <c r="C455" s="36" t="s">
        <v>74</v>
      </c>
      <c r="D455" s="34" t="s">
        <v>73</v>
      </c>
      <c r="E455" s="36" t="s">
        <v>74</v>
      </c>
      <c r="F455" s="237" t="s">
        <v>864</v>
      </c>
      <c r="G455" s="238" t="s">
        <v>865</v>
      </c>
    </row>
    <row r="456" spans="1:7" ht="27" x14ac:dyDescent="0.35">
      <c r="A456" s="70" t="s">
        <v>210</v>
      </c>
      <c r="B456" s="67">
        <v>24162</v>
      </c>
      <c r="C456" s="48">
        <v>0.12989484549383912</v>
      </c>
      <c r="D456" s="50">
        <v>117324</v>
      </c>
      <c r="E456" s="48">
        <v>0.11552106277329716</v>
      </c>
      <c r="F456" s="49">
        <v>112.44256447739718</v>
      </c>
      <c r="G456" s="45">
        <v>12.442564477397184</v>
      </c>
    </row>
    <row r="457" spans="1:7" ht="27" x14ac:dyDescent="0.35">
      <c r="A457" s="70" t="s">
        <v>211</v>
      </c>
      <c r="B457" s="67">
        <v>33839</v>
      </c>
      <c r="C457" s="48">
        <v>0.18191837085779411</v>
      </c>
      <c r="D457" s="50">
        <v>200825</v>
      </c>
      <c r="E457" s="48">
        <v>0.19773888915692783</v>
      </c>
      <c r="F457" s="49">
        <v>91.999288371354012</v>
      </c>
      <c r="G457" s="45">
        <v>-8.0007116286459876</v>
      </c>
    </row>
    <row r="458" spans="1:7" x14ac:dyDescent="0.35">
      <c r="A458" s="70" t="s">
        <v>212</v>
      </c>
      <c r="B458" s="67">
        <v>18028</v>
      </c>
      <c r="C458" s="48">
        <v>9.6918478377739065E-2</v>
      </c>
      <c r="D458" s="50">
        <v>122686</v>
      </c>
      <c r="E458" s="48">
        <v>0.12080066403638415</v>
      </c>
      <c r="F458" s="49">
        <v>80.230087434410152</v>
      </c>
      <c r="G458" s="45">
        <v>-19.769912565589848</v>
      </c>
    </row>
    <row r="459" spans="1:7" ht="27" x14ac:dyDescent="0.35">
      <c r="A459" s="70" t="s">
        <v>213</v>
      </c>
      <c r="B459" s="67">
        <v>12688</v>
      </c>
      <c r="C459" s="48">
        <v>6.8210653076145628E-2</v>
      </c>
      <c r="D459" s="50">
        <v>81663</v>
      </c>
      <c r="E459" s="48">
        <v>8.0408071232277833E-2</v>
      </c>
      <c r="F459" s="49">
        <v>84.830604727606186</v>
      </c>
      <c r="G459" s="45">
        <v>-15.169395272393814</v>
      </c>
    </row>
    <row r="460" spans="1:7" ht="27" x14ac:dyDescent="0.35">
      <c r="A460" s="70" t="s">
        <v>214</v>
      </c>
      <c r="B460" s="67">
        <v>7279</v>
      </c>
      <c r="C460" s="48">
        <v>3.9131883964475409E-2</v>
      </c>
      <c r="D460" s="50">
        <v>58992</v>
      </c>
      <c r="E460" s="48">
        <v>5.8085460222310405E-2</v>
      </c>
      <c r="F460" s="49">
        <v>67.369499724554132</v>
      </c>
      <c r="G460" s="45">
        <v>-32.630500275445868</v>
      </c>
    </row>
    <row r="461" spans="1:7" x14ac:dyDescent="0.35">
      <c r="A461" s="70" t="s">
        <v>215</v>
      </c>
      <c r="B461" s="67">
        <v>16969</v>
      </c>
      <c r="C461" s="48">
        <v>9.1225297292647792E-2</v>
      </c>
      <c r="D461" s="50">
        <v>124516</v>
      </c>
      <c r="E461" s="48">
        <v>0.12260254212505428</v>
      </c>
      <c r="F461" s="49">
        <v>74.407345648345711</v>
      </c>
      <c r="G461" s="45">
        <v>-25.592654351654289</v>
      </c>
    </row>
    <row r="462" spans="1:7" x14ac:dyDescent="0.35">
      <c r="A462" s="70" t="s">
        <v>216</v>
      </c>
      <c r="B462" s="67">
        <v>16486</v>
      </c>
      <c r="C462" s="48">
        <v>8.8628690622110401E-2</v>
      </c>
      <c r="D462" s="50">
        <v>128855</v>
      </c>
      <c r="E462" s="48">
        <v>0.12687486399758963</v>
      </c>
      <c r="F462" s="49">
        <v>69.85520049408224</v>
      </c>
      <c r="G462" s="45">
        <v>-30.14479950591776</v>
      </c>
    </row>
    <row r="463" spans="1:7" ht="27" x14ac:dyDescent="0.35">
      <c r="A463" s="70" t="s">
        <v>217</v>
      </c>
      <c r="B463" s="67">
        <v>16524</v>
      </c>
      <c r="C463" s="48">
        <v>8.8832978517514996E-2</v>
      </c>
      <c r="D463" s="50">
        <v>90506</v>
      </c>
      <c r="E463" s="48">
        <v>8.9115179395179434E-2</v>
      </c>
      <c r="F463" s="49">
        <v>99.683330180582345</v>
      </c>
      <c r="G463" s="45">
        <v>-0.31666981941765471</v>
      </c>
    </row>
    <row r="464" spans="1:7" x14ac:dyDescent="0.35">
      <c r="A464" s="70" t="s">
        <v>218</v>
      </c>
      <c r="B464" s="67">
        <v>40037</v>
      </c>
      <c r="C464" s="42">
        <v>0.21523880179773347</v>
      </c>
      <c r="D464" s="50">
        <v>90240</v>
      </c>
      <c r="E464" s="42">
        <v>8.8853267060979291E-2</v>
      </c>
      <c r="F464" s="49">
        <v>242.24072891998082</v>
      </c>
      <c r="G464" s="45">
        <v>142.24072891998082</v>
      </c>
    </row>
    <row r="465" spans="1:7" x14ac:dyDescent="0.35">
      <c r="A465" s="62" t="s">
        <v>209</v>
      </c>
      <c r="B465" s="226">
        <v>186012</v>
      </c>
      <c r="C465" s="225"/>
      <c r="D465" s="226">
        <v>1015607</v>
      </c>
      <c r="E465" s="225"/>
      <c r="F465" s="58"/>
      <c r="G465" s="46"/>
    </row>
    <row r="466" spans="1:7" ht="15" customHeight="1" x14ac:dyDescent="0.35">
      <c r="A466" s="9"/>
      <c r="B466" s="9"/>
      <c r="C466" s="210"/>
      <c r="D466" s="9"/>
      <c r="E466" s="9"/>
      <c r="F466" s="9"/>
    </row>
    <row r="467" spans="1:7" ht="40" customHeight="1" x14ac:dyDescent="0.35">
      <c r="A467" s="249" t="s">
        <v>333</v>
      </c>
      <c r="B467" s="227" t="s">
        <v>890</v>
      </c>
      <c r="C467" s="243" t="s">
        <v>890</v>
      </c>
      <c r="D467" s="227" t="s">
        <v>891</v>
      </c>
      <c r="E467" s="228" t="s">
        <v>891</v>
      </c>
      <c r="F467" s="235" t="s">
        <v>1</v>
      </c>
      <c r="G467" s="236" t="s">
        <v>1</v>
      </c>
    </row>
    <row r="468" spans="1:7" x14ac:dyDescent="0.35">
      <c r="A468" s="239" t="s">
        <v>866</v>
      </c>
      <c r="B468" s="35" t="s">
        <v>73</v>
      </c>
      <c r="C468" s="36" t="s">
        <v>74</v>
      </c>
      <c r="D468" s="34" t="s">
        <v>73</v>
      </c>
      <c r="E468" s="36" t="s">
        <v>74</v>
      </c>
      <c r="F468" s="237" t="s">
        <v>864</v>
      </c>
      <c r="G468" s="238" t="s">
        <v>865</v>
      </c>
    </row>
    <row r="469" spans="1:7" ht="27" x14ac:dyDescent="0.35">
      <c r="A469" s="70" t="s">
        <v>328</v>
      </c>
      <c r="B469" s="67">
        <v>58001</v>
      </c>
      <c r="C469" s="48">
        <v>0.31181321635163323</v>
      </c>
      <c r="D469" s="50">
        <v>318149</v>
      </c>
      <c r="E469" s="48">
        <v>0.31325995193022499</v>
      </c>
      <c r="F469" s="49">
        <v>99.538167719915251</v>
      </c>
      <c r="G469" s="45">
        <v>-0.46183228008474941</v>
      </c>
    </row>
    <row r="470" spans="1:7" x14ac:dyDescent="0.35">
      <c r="A470" s="70" t="s">
        <v>329</v>
      </c>
      <c r="B470" s="67">
        <v>30716</v>
      </c>
      <c r="C470" s="48">
        <v>0.16512913145388469</v>
      </c>
      <c r="D470" s="50">
        <v>204349</v>
      </c>
      <c r="E470" s="48">
        <v>0.20120873526866198</v>
      </c>
      <c r="F470" s="49">
        <v>82.068569852793743</v>
      </c>
      <c r="G470" s="45">
        <v>-17.931430147206257</v>
      </c>
    </row>
    <row r="471" spans="1:7" x14ac:dyDescent="0.35">
      <c r="A471" s="255" t="s">
        <v>330</v>
      </c>
      <c r="B471" s="256">
        <v>40734</v>
      </c>
      <c r="C471" s="257">
        <v>0.2189858718792336</v>
      </c>
      <c r="D471" s="258">
        <v>312363</v>
      </c>
      <c r="E471" s="257">
        <v>0.30756286634495428</v>
      </c>
      <c r="F471" s="259">
        <v>71.200361240496733</v>
      </c>
      <c r="G471" s="260">
        <v>-28.799638759503267</v>
      </c>
    </row>
    <row r="472" spans="1:7" x14ac:dyDescent="0.35">
      <c r="A472" s="101" t="s">
        <v>327</v>
      </c>
      <c r="B472" s="102">
        <v>16524</v>
      </c>
      <c r="C472" s="103">
        <v>8.8832978517514996E-2</v>
      </c>
      <c r="D472" s="104">
        <v>90506</v>
      </c>
      <c r="E472" s="103">
        <v>8.9115179395179434E-2</v>
      </c>
      <c r="F472" s="261">
        <v>99.683330180582345</v>
      </c>
      <c r="G472" s="262">
        <v>-0.31666981941765471</v>
      </c>
    </row>
    <row r="473" spans="1:7" x14ac:dyDescent="0.35">
      <c r="A473" s="71" t="s">
        <v>331</v>
      </c>
      <c r="B473" s="69">
        <v>40037</v>
      </c>
      <c r="C473" s="53">
        <v>0.21523880179773347</v>
      </c>
      <c r="D473" s="52">
        <v>90240</v>
      </c>
      <c r="E473" s="53">
        <v>8.8853267060979291E-2</v>
      </c>
      <c r="F473" s="49">
        <v>242.24072891998082</v>
      </c>
      <c r="G473" s="45">
        <v>142.24072891998082</v>
      </c>
    </row>
    <row r="474" spans="1:7" x14ac:dyDescent="0.35">
      <c r="A474" s="62" t="s">
        <v>209</v>
      </c>
      <c r="B474" s="226">
        <v>186012</v>
      </c>
      <c r="C474" s="225"/>
      <c r="D474" s="226">
        <v>1015607</v>
      </c>
      <c r="E474" s="225"/>
      <c r="F474" s="58"/>
      <c r="G474" s="46"/>
    </row>
    <row r="475" spans="1:7" ht="15" customHeight="1" x14ac:dyDescent="0.35">
      <c r="A475" s="9"/>
      <c r="B475" s="9"/>
      <c r="C475" s="210"/>
      <c r="D475" s="9"/>
      <c r="E475" s="9"/>
      <c r="F475" s="9"/>
    </row>
    <row r="476" spans="1:7" ht="15" customHeight="1" x14ac:dyDescent="0.35">
      <c r="A476" s="9" t="s">
        <v>416</v>
      </c>
      <c r="B476" s="9"/>
      <c r="C476" s="210"/>
      <c r="D476" s="9"/>
      <c r="E476" s="9"/>
      <c r="F476" s="9"/>
    </row>
    <row r="477" spans="1:7" ht="40" customHeight="1" x14ac:dyDescent="0.35">
      <c r="A477" s="249" t="s">
        <v>416</v>
      </c>
      <c r="B477" s="227" t="s">
        <v>890</v>
      </c>
      <c r="C477" s="243" t="s">
        <v>890</v>
      </c>
      <c r="D477" s="227" t="s">
        <v>891</v>
      </c>
      <c r="E477" s="228" t="s">
        <v>891</v>
      </c>
      <c r="F477" s="235" t="s">
        <v>1</v>
      </c>
      <c r="G477" s="236" t="s">
        <v>1</v>
      </c>
    </row>
    <row r="478" spans="1:7" x14ac:dyDescent="0.35">
      <c r="A478" s="239" t="s">
        <v>866</v>
      </c>
      <c r="B478" s="35" t="s">
        <v>73</v>
      </c>
      <c r="C478" s="36" t="s">
        <v>74</v>
      </c>
      <c r="D478" s="34" t="s">
        <v>73</v>
      </c>
      <c r="E478" s="36" t="s">
        <v>74</v>
      </c>
      <c r="F478" s="237" t="s">
        <v>864</v>
      </c>
      <c r="G478" s="238" t="s">
        <v>865</v>
      </c>
    </row>
    <row r="479" spans="1:7" x14ac:dyDescent="0.35">
      <c r="A479" s="72" t="s">
        <v>417</v>
      </c>
      <c r="B479" s="67">
        <v>89</v>
      </c>
      <c r="C479" s="42">
        <v>9.3197620842757809E-4</v>
      </c>
      <c r="D479" s="50">
        <v>1884</v>
      </c>
      <c r="E479" s="42">
        <v>3.4123387561264523E-3</v>
      </c>
      <c r="F479" s="49">
        <v>27.311948637992771</v>
      </c>
      <c r="G479" s="45">
        <v>-72.688051362007229</v>
      </c>
    </row>
    <row r="480" spans="1:7" x14ac:dyDescent="0.35">
      <c r="A480" s="72" t="s">
        <v>418</v>
      </c>
      <c r="B480" s="67">
        <v>41</v>
      </c>
      <c r="C480" s="42">
        <v>4.2933735444416522E-4</v>
      </c>
      <c r="D480" s="50">
        <v>555</v>
      </c>
      <c r="E480" s="42">
        <v>1.0052271813429834E-3</v>
      </c>
      <c r="F480" s="49">
        <v>42.710480020105564</v>
      </c>
      <c r="G480" s="45">
        <v>-57.289519979894436</v>
      </c>
    </row>
    <row r="481" spans="1:7" x14ac:dyDescent="0.35">
      <c r="A481" s="72" t="s">
        <v>419</v>
      </c>
      <c r="B481" s="67">
        <v>3998</v>
      </c>
      <c r="C481" s="42">
        <v>4.1865627879701765E-2</v>
      </c>
      <c r="D481" s="50">
        <v>44389</v>
      </c>
      <c r="E481" s="42">
        <v>8.0398251085826475E-2</v>
      </c>
      <c r="F481" s="49">
        <v>52.072809189604776</v>
      </c>
      <c r="G481" s="45">
        <v>-47.927190810395224</v>
      </c>
    </row>
    <row r="482" spans="1:7" ht="27" x14ac:dyDescent="0.35">
      <c r="A482" s="72" t="s">
        <v>448</v>
      </c>
      <c r="B482" s="67">
        <v>727</v>
      </c>
      <c r="C482" s="42">
        <v>7.6128843092904417E-3</v>
      </c>
      <c r="D482" s="50">
        <v>4372</v>
      </c>
      <c r="E482" s="42">
        <v>7.9186544807775209E-3</v>
      </c>
      <c r="F482" s="49">
        <v>96.138609504565025</v>
      </c>
      <c r="G482" s="45">
        <v>-3.8613904954349749</v>
      </c>
    </row>
    <row r="483" spans="1:7" ht="27" x14ac:dyDescent="0.35">
      <c r="A483" s="72" t="s">
        <v>449</v>
      </c>
      <c r="B483" s="67">
        <v>647</v>
      </c>
      <c r="C483" s="42">
        <v>6.775152885984753E-3</v>
      </c>
      <c r="D483" s="50">
        <v>5624</v>
      </c>
      <c r="E483" s="42">
        <v>1.0186302104275567E-2</v>
      </c>
      <c r="F483" s="49">
        <v>66.512389055700311</v>
      </c>
      <c r="G483" s="45">
        <v>-33.487610944299689</v>
      </c>
    </row>
    <row r="484" spans="1:7" x14ac:dyDescent="0.35">
      <c r="A484" s="72" t="s">
        <v>420</v>
      </c>
      <c r="B484" s="67">
        <v>4616</v>
      </c>
      <c r="C484" s="42">
        <v>4.8337103124738212E-2</v>
      </c>
      <c r="D484" s="50">
        <v>43383</v>
      </c>
      <c r="E484" s="42">
        <v>7.8576163618383155E-2</v>
      </c>
      <c r="F484" s="49">
        <v>61.516242202272117</v>
      </c>
      <c r="G484" s="45">
        <v>-38.483757797727883</v>
      </c>
    </row>
    <row r="485" spans="1:7" ht="27" x14ac:dyDescent="0.35">
      <c r="A485" s="72" t="s">
        <v>450</v>
      </c>
      <c r="B485" s="67">
        <v>12052</v>
      </c>
      <c r="C485" s="42">
        <v>0.12620423892100194</v>
      </c>
      <c r="D485" s="50">
        <v>77876</v>
      </c>
      <c r="E485" s="42">
        <v>0.14105058013381294</v>
      </c>
      <c r="F485" s="49">
        <v>89.474455759964641</v>
      </c>
      <c r="G485" s="45">
        <v>-10.525544240035359</v>
      </c>
    </row>
    <row r="486" spans="1:7" x14ac:dyDescent="0.35">
      <c r="A486" s="72" t="s">
        <v>421</v>
      </c>
      <c r="B486" s="67">
        <v>3422</v>
      </c>
      <c r="C486" s="48">
        <v>3.5833961631900814E-2</v>
      </c>
      <c r="D486" s="50">
        <v>22258</v>
      </c>
      <c r="E486" s="48">
        <v>4.0314138022220052E-2</v>
      </c>
      <c r="F486" s="49">
        <v>88.886835710464922</v>
      </c>
      <c r="G486" s="45">
        <v>-11.113164289535078</v>
      </c>
    </row>
    <row r="487" spans="1:7" x14ac:dyDescent="0.35">
      <c r="A487" s="72" t="s">
        <v>422</v>
      </c>
      <c r="B487" s="67">
        <v>6525</v>
      </c>
      <c r="C487" s="42">
        <v>6.8327469213370198E-2</v>
      </c>
      <c r="D487" s="50">
        <v>26257</v>
      </c>
      <c r="E487" s="42">
        <v>4.755720738832922E-2</v>
      </c>
      <c r="F487" s="49">
        <v>143.67426719454116</v>
      </c>
      <c r="G487" s="45">
        <v>43.674267194541159</v>
      </c>
    </row>
    <row r="488" spans="1:7" x14ac:dyDescent="0.35">
      <c r="A488" s="72" t="s">
        <v>423</v>
      </c>
      <c r="B488" s="67">
        <v>5304</v>
      </c>
      <c r="C488" s="42">
        <v>5.5541593365167126E-2</v>
      </c>
      <c r="D488" s="50">
        <v>19487</v>
      </c>
      <c r="E488" s="42">
        <v>3.5295246996091385E-2</v>
      </c>
      <c r="F488" s="63">
        <v>157.36281253767069</v>
      </c>
      <c r="G488" s="91">
        <v>57.362812537670692</v>
      </c>
    </row>
    <row r="489" spans="1:7" x14ac:dyDescent="0.35">
      <c r="A489" s="72" t="s">
        <v>424</v>
      </c>
      <c r="B489" s="67">
        <v>4907</v>
      </c>
      <c r="C489" s="42">
        <v>5.1384351177012649E-2</v>
      </c>
      <c r="D489" s="50">
        <v>22460</v>
      </c>
      <c r="E489" s="42">
        <v>4.0680004491825961E-2</v>
      </c>
      <c r="F489" s="49">
        <v>126.31353368541924</v>
      </c>
      <c r="G489" s="45">
        <v>26.313533685419245</v>
      </c>
    </row>
    <row r="490" spans="1:7" x14ac:dyDescent="0.35">
      <c r="A490" s="72" t="s">
        <v>425</v>
      </c>
      <c r="B490" s="67">
        <v>1335</v>
      </c>
      <c r="C490" s="42">
        <v>1.3979643126413671E-2</v>
      </c>
      <c r="D490" s="50">
        <v>7852</v>
      </c>
      <c r="E490" s="42">
        <v>1.4221700590820011E-2</v>
      </c>
      <c r="F490" s="49">
        <v>98.29797102772234</v>
      </c>
      <c r="G490" s="45">
        <v>-1.7020289722776596</v>
      </c>
    </row>
    <row r="491" spans="1:7" ht="27" x14ac:dyDescent="0.35">
      <c r="A491" s="72" t="s">
        <v>451</v>
      </c>
      <c r="B491" s="67">
        <v>6893</v>
      </c>
      <c r="C491" s="42">
        <v>7.2181033760576357E-2</v>
      </c>
      <c r="D491" s="50">
        <v>28502</v>
      </c>
      <c r="E491" s="42">
        <v>5.1623396617365251E-2</v>
      </c>
      <c r="F491" s="49">
        <v>139.82232570937779</v>
      </c>
      <c r="G491" s="45">
        <v>39.822325709377793</v>
      </c>
    </row>
    <row r="492" spans="1:7" ht="27" x14ac:dyDescent="0.35">
      <c r="A492" s="72" t="s">
        <v>452</v>
      </c>
      <c r="B492" s="67">
        <v>4259</v>
      </c>
      <c r="C492" s="42">
        <v>4.4598726648236574E-2</v>
      </c>
      <c r="D492" s="50">
        <v>23625</v>
      </c>
      <c r="E492" s="42">
        <v>4.2790075962572949E-2</v>
      </c>
      <c r="F492" s="49">
        <v>104.22679942715128</v>
      </c>
      <c r="G492" s="45">
        <v>4.2267994271512777</v>
      </c>
    </row>
    <row r="493" spans="1:7" ht="27" x14ac:dyDescent="0.35">
      <c r="A493" s="72" t="s">
        <v>453</v>
      </c>
      <c r="B493" s="67">
        <v>8474</v>
      </c>
      <c r="C493" s="42">
        <v>8.8736701013655023E-2</v>
      </c>
      <c r="D493" s="50">
        <v>54343</v>
      </c>
      <c r="E493" s="42">
        <v>9.8427136424723879E-2</v>
      </c>
      <c r="F493" s="49">
        <v>90.154711634346882</v>
      </c>
      <c r="G493" s="45">
        <v>-9.8452883656531185</v>
      </c>
    </row>
    <row r="494" spans="1:7" x14ac:dyDescent="0.35">
      <c r="A494" s="72" t="s">
        <v>426</v>
      </c>
      <c r="B494" s="67">
        <v>11293</v>
      </c>
      <c r="C494" s="48">
        <v>0.1182562620423892</v>
      </c>
      <c r="D494" s="50">
        <v>54776</v>
      </c>
      <c r="E494" s="48">
        <v>9.9211394748186063E-2</v>
      </c>
      <c r="F494" s="49">
        <v>119.19624992929691</v>
      </c>
      <c r="G494" s="45">
        <v>19.196249929296911</v>
      </c>
    </row>
    <row r="495" spans="1:7" x14ac:dyDescent="0.35">
      <c r="A495" s="72" t="s">
        <v>427</v>
      </c>
      <c r="B495" s="67">
        <v>15709</v>
      </c>
      <c r="C495" s="42">
        <v>0.1644990366088632</v>
      </c>
      <c r="D495" s="50">
        <v>91422</v>
      </c>
      <c r="E495" s="42">
        <v>0.165585368239168</v>
      </c>
      <c r="F495" s="49">
        <v>99.343944672251638</v>
      </c>
      <c r="G495" s="45">
        <v>-0.65605532774836206</v>
      </c>
    </row>
    <row r="496" spans="1:7" x14ac:dyDescent="0.35">
      <c r="A496" s="72" t="s">
        <v>432</v>
      </c>
      <c r="B496" s="67">
        <v>1835</v>
      </c>
      <c r="C496" s="42">
        <v>1.9215464522074222E-2</v>
      </c>
      <c r="D496" s="50">
        <v>4460</v>
      </c>
      <c r="E496" s="42">
        <v>8.0780418536751473E-3</v>
      </c>
      <c r="F496" s="49">
        <v>237.87280222288086</v>
      </c>
      <c r="G496" s="45">
        <v>137.87280222288086</v>
      </c>
    </row>
    <row r="497" spans="1:7" ht="27" x14ac:dyDescent="0.35">
      <c r="A497" s="72" t="s">
        <v>428</v>
      </c>
      <c r="B497" s="67">
        <v>260</v>
      </c>
      <c r="C497" s="42">
        <v>2.7226271257434868E-3</v>
      </c>
      <c r="D497" s="50">
        <v>1068</v>
      </c>
      <c r="E497" s="42">
        <v>1.9343831165302818E-3</v>
      </c>
      <c r="F497" s="49">
        <v>140.74911544033142</v>
      </c>
      <c r="G497" s="45">
        <v>40.749115440331423</v>
      </c>
    </row>
    <row r="498" spans="1:7" ht="27" x14ac:dyDescent="0.35">
      <c r="A498" s="72" t="s">
        <v>431</v>
      </c>
      <c r="B498" s="67">
        <v>1136</v>
      </c>
      <c r="C498" s="42">
        <v>1.1895786210940772E-2</v>
      </c>
      <c r="D498" s="50">
        <v>6000</v>
      </c>
      <c r="E498" s="42">
        <v>1.0867320879383606E-2</v>
      </c>
      <c r="F498" s="63">
        <v>109.46383513445591</v>
      </c>
      <c r="G498" s="91">
        <v>9.4638351344559055</v>
      </c>
    </row>
    <row r="499" spans="1:7" x14ac:dyDescent="0.35">
      <c r="A499" s="72" t="s">
        <v>429</v>
      </c>
      <c r="B499" s="67">
        <v>1940</v>
      </c>
      <c r="C499" s="42">
        <v>2.031498701516294E-2</v>
      </c>
      <c r="D499" s="50">
        <v>11022</v>
      </c>
      <c r="E499" s="42">
        <v>1.9963268455427684E-2</v>
      </c>
      <c r="F499" s="49">
        <v>101.76182853284041</v>
      </c>
      <c r="G499" s="45">
        <v>1.7618285328404113</v>
      </c>
    </row>
    <row r="500" spans="1:7" ht="40.5" x14ac:dyDescent="0.35">
      <c r="A500" s="72" t="s">
        <v>430</v>
      </c>
      <c r="B500" s="67">
        <v>24</v>
      </c>
      <c r="C500" s="42">
        <v>2.5131942699170643E-4</v>
      </c>
      <c r="D500" s="50">
        <v>76</v>
      </c>
      <c r="E500" s="42">
        <v>1.37652731138859E-4</v>
      </c>
      <c r="F500" s="49">
        <v>182.57496593960397</v>
      </c>
      <c r="G500" s="45">
        <v>82.57496593960397</v>
      </c>
    </row>
    <row r="501" spans="1:7" ht="27" x14ac:dyDescent="0.35">
      <c r="A501" s="72" t="s">
        <v>883</v>
      </c>
      <c r="B501" s="67">
        <v>10</v>
      </c>
      <c r="C501" s="42">
        <v>1.0471642791321103E-4</v>
      </c>
      <c r="D501" s="50">
        <v>43</v>
      </c>
      <c r="E501" s="42">
        <v>7.7882466302249171E-5</v>
      </c>
      <c r="F501" s="49">
        <v>134.45443228110372</v>
      </c>
      <c r="G501" s="45">
        <v>34.45443228110372</v>
      </c>
    </row>
    <row r="502" spans="1:7" ht="27" x14ac:dyDescent="0.35">
      <c r="A502" s="62" t="s">
        <v>223</v>
      </c>
      <c r="B502" s="226">
        <v>95496</v>
      </c>
      <c r="C502" s="225"/>
      <c r="D502" s="226">
        <v>552114</v>
      </c>
      <c r="E502" s="225"/>
      <c r="F502" s="58"/>
      <c r="G502" s="46"/>
    </row>
    <row r="504" spans="1:7" ht="15" customHeight="1" x14ac:dyDescent="0.35">
      <c r="A504" s="153" t="s">
        <v>859</v>
      </c>
      <c r="B504" s="9"/>
      <c r="C504" s="210"/>
      <c r="D504" s="9"/>
      <c r="E504" s="9"/>
      <c r="F504" s="9"/>
    </row>
    <row r="505" spans="1:7" ht="40" customHeight="1" x14ac:dyDescent="0.35">
      <c r="A505" s="249" t="s">
        <v>859</v>
      </c>
      <c r="B505" s="227" t="s">
        <v>890</v>
      </c>
      <c r="C505" s="243" t="s">
        <v>890</v>
      </c>
      <c r="D505" s="227" t="s">
        <v>891</v>
      </c>
      <c r="E505" s="228" t="s">
        <v>891</v>
      </c>
      <c r="F505" s="235" t="s">
        <v>1</v>
      </c>
      <c r="G505" s="236" t="s">
        <v>1</v>
      </c>
    </row>
    <row r="506" spans="1:7" x14ac:dyDescent="0.35">
      <c r="A506" s="239" t="s">
        <v>866</v>
      </c>
      <c r="B506" s="35" t="s">
        <v>73</v>
      </c>
      <c r="C506" s="36" t="s">
        <v>74</v>
      </c>
      <c r="D506" s="34" t="s">
        <v>73</v>
      </c>
      <c r="E506" s="36" t="s">
        <v>74</v>
      </c>
      <c r="F506" s="237" t="s">
        <v>864</v>
      </c>
      <c r="G506" s="238" t="s">
        <v>865</v>
      </c>
    </row>
    <row r="507" spans="1:7" ht="27" x14ac:dyDescent="0.35">
      <c r="A507" s="70" t="s">
        <v>862</v>
      </c>
      <c r="B507" s="67">
        <v>43495</v>
      </c>
      <c r="C507" s="48">
        <v>0.24398247611782062</v>
      </c>
      <c r="D507" s="50">
        <v>213745</v>
      </c>
      <c r="E507" s="48">
        <v>0.2192580237491486</v>
      </c>
      <c r="F507" s="49">
        <v>111.27641850724655</v>
      </c>
      <c r="G507" s="45">
        <v>11.276418507246547</v>
      </c>
    </row>
    <row r="508" spans="1:7" ht="40.5" x14ac:dyDescent="0.35">
      <c r="A508" s="70" t="s">
        <v>863</v>
      </c>
      <c r="B508" s="67">
        <v>67507</v>
      </c>
      <c r="C508" s="48">
        <v>0.37867628498185346</v>
      </c>
      <c r="D508" s="50">
        <v>329432</v>
      </c>
      <c r="E508" s="48">
        <v>0.33792888385566688</v>
      </c>
      <c r="F508" s="49">
        <v>112.05798115309678</v>
      </c>
      <c r="G508" s="45">
        <v>12.057981153096776</v>
      </c>
    </row>
    <row r="509" spans="1:7" x14ac:dyDescent="0.35">
      <c r="A509" s="70" t="s">
        <v>860</v>
      </c>
      <c r="B509" s="67">
        <v>24689</v>
      </c>
      <c r="C509" s="48">
        <v>0.13849139792787385</v>
      </c>
      <c r="D509" s="50">
        <v>192283</v>
      </c>
      <c r="E509" s="48">
        <v>0.19724246452809441</v>
      </c>
      <c r="F509" s="49">
        <v>70.213783963416105</v>
      </c>
      <c r="G509" s="45">
        <v>-29.786216036583895</v>
      </c>
    </row>
    <row r="510" spans="1:7" ht="30" customHeight="1" x14ac:dyDescent="0.35">
      <c r="A510" s="70" t="s">
        <v>861</v>
      </c>
      <c r="B510" s="67">
        <v>42580</v>
      </c>
      <c r="C510" s="48">
        <v>0.23884984097245204</v>
      </c>
      <c r="D510" s="50">
        <v>239396</v>
      </c>
      <c r="E510" s="48">
        <v>0.24557062786709011</v>
      </c>
      <c r="F510" s="49">
        <v>97.26319594773544</v>
      </c>
      <c r="G510" s="45">
        <v>-2.73680405226456</v>
      </c>
    </row>
    <row r="511" spans="1:7" x14ac:dyDescent="0.35">
      <c r="A511" s="62" t="s">
        <v>391</v>
      </c>
      <c r="B511" s="226">
        <v>178271</v>
      </c>
      <c r="C511" s="225"/>
      <c r="D511" s="226">
        <v>974856</v>
      </c>
      <c r="E511" s="225"/>
      <c r="F511" s="58"/>
      <c r="G511" s="46"/>
    </row>
    <row r="512" spans="1:7" ht="15" customHeight="1" x14ac:dyDescent="0.35">
      <c r="A512" s="9"/>
      <c r="B512" s="9"/>
      <c r="C512" s="210"/>
      <c r="D512" s="9"/>
      <c r="E512" s="9"/>
      <c r="F512" s="9"/>
    </row>
    <row r="513" spans="1:7" x14ac:dyDescent="0.35">
      <c r="A513" s="9" t="s">
        <v>102</v>
      </c>
      <c r="B513" s="11"/>
      <c r="C513" s="209"/>
      <c r="D513" s="11"/>
      <c r="E513" s="11"/>
      <c r="F513" s="11"/>
    </row>
    <row r="514" spans="1:7" ht="15" customHeight="1" x14ac:dyDescent="0.35">
      <c r="A514" s="279" t="s">
        <v>174</v>
      </c>
      <c r="B514" s="279"/>
      <c r="C514" s="279"/>
      <c r="D514" s="279"/>
      <c r="E514" s="279"/>
      <c r="F514" s="279"/>
      <c r="G514" s="279"/>
    </row>
    <row r="515" spans="1:7" x14ac:dyDescent="0.35">
      <c r="A515" s="280" t="s">
        <v>169</v>
      </c>
      <c r="B515" s="280"/>
      <c r="C515" s="280"/>
      <c r="D515" s="280"/>
      <c r="E515" s="280"/>
      <c r="F515" s="280"/>
      <c r="G515" s="280"/>
    </row>
    <row r="516" spans="1:7" x14ac:dyDescent="0.35">
      <c r="A516" s="280" t="s">
        <v>170</v>
      </c>
      <c r="B516" s="280"/>
      <c r="C516" s="280"/>
      <c r="D516" s="280"/>
      <c r="E516" s="280"/>
      <c r="F516" s="280"/>
      <c r="G516" s="280"/>
    </row>
    <row r="517" spans="1:7" x14ac:dyDescent="0.35">
      <c r="A517" s="280" t="s">
        <v>171</v>
      </c>
      <c r="B517" s="280"/>
      <c r="C517" s="280"/>
      <c r="D517" s="280"/>
      <c r="E517" s="280"/>
      <c r="F517" s="280"/>
      <c r="G517" s="280"/>
    </row>
    <row r="518" spans="1:7" ht="33" customHeight="1" x14ac:dyDescent="0.35">
      <c r="A518" s="279" t="s">
        <v>172</v>
      </c>
      <c r="B518" s="279"/>
      <c r="C518" s="279"/>
      <c r="D518" s="279"/>
      <c r="E518" s="279"/>
      <c r="F518" s="279"/>
      <c r="G518" s="279"/>
    </row>
    <row r="519" spans="1:7" ht="15" customHeight="1" x14ac:dyDescent="0.35">
      <c r="A519" s="279" t="s">
        <v>173</v>
      </c>
      <c r="B519" s="279"/>
      <c r="C519" s="279"/>
      <c r="D519" s="279"/>
      <c r="E519" s="279"/>
      <c r="F519" s="279"/>
      <c r="G519" s="279"/>
    </row>
    <row r="520" spans="1:7" ht="15" customHeight="1" x14ac:dyDescent="0.35">
      <c r="A520" s="77"/>
      <c r="B520" s="77"/>
      <c r="C520" s="223"/>
      <c r="D520" s="77"/>
      <c r="E520" s="77"/>
      <c r="F520" s="77"/>
      <c r="G520" s="77"/>
    </row>
    <row r="521" spans="1:7" ht="33" customHeight="1" x14ac:dyDescent="0.35">
      <c r="A521" s="279" t="s">
        <v>222</v>
      </c>
      <c r="B521" s="279"/>
      <c r="C521" s="279"/>
      <c r="D521" s="279"/>
      <c r="E521" s="279"/>
      <c r="F521" s="279"/>
      <c r="G521" s="279"/>
    </row>
    <row r="522" spans="1:7" x14ac:dyDescent="0.35">
      <c r="A522" s="280" t="s">
        <v>175</v>
      </c>
      <c r="B522" s="280"/>
      <c r="C522" s="280"/>
      <c r="D522" s="280"/>
      <c r="E522" s="280"/>
      <c r="F522" s="280"/>
      <c r="G522" s="280"/>
    </row>
    <row r="523" spans="1:7" x14ac:dyDescent="0.35">
      <c r="A523" s="280" t="s">
        <v>176</v>
      </c>
      <c r="B523" s="280"/>
      <c r="C523" s="280"/>
      <c r="D523" s="280"/>
      <c r="E523" s="280"/>
      <c r="F523" s="280"/>
      <c r="G523" s="280"/>
    </row>
    <row r="524" spans="1:7" x14ac:dyDescent="0.35">
      <c r="A524" s="280" t="s">
        <v>177</v>
      </c>
      <c r="B524" s="280"/>
      <c r="C524" s="280"/>
      <c r="D524" s="280"/>
      <c r="E524" s="280"/>
      <c r="F524" s="280"/>
      <c r="G524" s="280"/>
    </row>
    <row r="525" spans="1:7" x14ac:dyDescent="0.35">
      <c r="A525" s="279" t="s">
        <v>178</v>
      </c>
      <c r="B525" s="279"/>
      <c r="C525" s="279"/>
      <c r="D525" s="279"/>
      <c r="E525" s="279"/>
      <c r="F525" s="279"/>
      <c r="G525" s="279"/>
    </row>
    <row r="526" spans="1:7" ht="33" customHeight="1" x14ac:dyDescent="0.35">
      <c r="A526" s="279" t="s">
        <v>179</v>
      </c>
      <c r="B526" s="279"/>
      <c r="C526" s="279"/>
      <c r="D526" s="279"/>
      <c r="E526" s="279"/>
      <c r="F526" s="279"/>
      <c r="G526" s="279"/>
    </row>
    <row r="527" spans="1:7" ht="6.75" customHeight="1" x14ac:dyDescent="0.35">
      <c r="A527" s="279"/>
      <c r="B527" s="279"/>
      <c r="C527" s="279"/>
      <c r="D527" s="279"/>
      <c r="E527" s="279"/>
      <c r="F527" s="279"/>
      <c r="G527" s="279"/>
    </row>
    <row r="528" spans="1:7" ht="40" customHeight="1" x14ac:dyDescent="0.35">
      <c r="A528" s="249" t="s">
        <v>102</v>
      </c>
      <c r="B528" s="227" t="s">
        <v>890</v>
      </c>
      <c r="C528" s="243" t="s">
        <v>890</v>
      </c>
      <c r="D528" s="227" t="s">
        <v>891</v>
      </c>
      <c r="E528" s="228" t="s">
        <v>891</v>
      </c>
      <c r="F528" s="235" t="s">
        <v>1</v>
      </c>
      <c r="G528" s="236" t="s">
        <v>1</v>
      </c>
    </row>
    <row r="529" spans="1:7" x14ac:dyDescent="0.35">
      <c r="A529" s="239" t="s">
        <v>866</v>
      </c>
      <c r="B529" s="35" t="s">
        <v>73</v>
      </c>
      <c r="C529" s="36" t="s">
        <v>74</v>
      </c>
      <c r="D529" s="34" t="s">
        <v>73</v>
      </c>
      <c r="E529" s="36" t="s">
        <v>74</v>
      </c>
      <c r="F529" s="237" t="s">
        <v>864</v>
      </c>
      <c r="G529" s="238" t="s">
        <v>865</v>
      </c>
    </row>
    <row r="530" spans="1:7" x14ac:dyDescent="0.35">
      <c r="A530" s="80" t="s">
        <v>103</v>
      </c>
      <c r="B530" s="67">
        <v>107110</v>
      </c>
      <c r="C530" s="42">
        <v>0.57597479068416835</v>
      </c>
      <c r="D530" s="50">
        <v>591757</v>
      </c>
      <c r="E530" s="42">
        <v>0.58271099452105513</v>
      </c>
      <c r="F530" s="49">
        <v>98.843988889822924</v>
      </c>
      <c r="G530" s="45">
        <v>-1.1560111101770758</v>
      </c>
    </row>
    <row r="531" spans="1:7" x14ac:dyDescent="0.35">
      <c r="A531" s="80" t="s">
        <v>107</v>
      </c>
      <c r="B531" s="67">
        <v>78853</v>
      </c>
      <c r="C531" s="42">
        <v>0.42402520931583165</v>
      </c>
      <c r="D531" s="50">
        <v>423767</v>
      </c>
      <c r="E531" s="42">
        <v>0.41728900547894487</v>
      </c>
      <c r="F531" s="49">
        <v>101.61427781428252</v>
      </c>
      <c r="G531" s="45">
        <v>1.6142778142825165</v>
      </c>
    </row>
    <row r="532" spans="1:7" x14ac:dyDescent="0.35">
      <c r="A532" s="62" t="s">
        <v>209</v>
      </c>
      <c r="B532" s="226">
        <v>185963</v>
      </c>
      <c r="C532" s="225"/>
      <c r="D532" s="226">
        <v>1015524</v>
      </c>
      <c r="E532" s="225"/>
      <c r="F532" s="58"/>
      <c r="G532" s="46"/>
    </row>
    <row r="533" spans="1:7" x14ac:dyDescent="0.35">
      <c r="A533" s="11"/>
      <c r="B533" s="11"/>
      <c r="C533" s="209"/>
      <c r="D533" s="11"/>
      <c r="E533" s="11"/>
      <c r="F533" s="11"/>
    </row>
    <row r="534" spans="1:7" s="171" customFormat="1" ht="12" x14ac:dyDescent="0.3">
      <c r="A534" s="281" t="s">
        <v>377</v>
      </c>
      <c r="B534" s="281"/>
      <c r="C534" s="281"/>
      <c r="D534" s="281"/>
      <c r="E534" s="281"/>
      <c r="F534" s="281"/>
      <c r="G534" s="281"/>
    </row>
  </sheetData>
  <mergeCells count="33">
    <mergeCell ref="A143:G143"/>
    <mergeCell ref="A141:G141"/>
    <mergeCell ref="A142:G142"/>
    <mergeCell ref="A138:G138"/>
    <mergeCell ref="A136:G136"/>
    <mergeCell ref="A124:G124"/>
    <mergeCell ref="A100:G100"/>
    <mergeCell ref="A139:G139"/>
    <mergeCell ref="A137:G137"/>
    <mergeCell ref="A140:G140"/>
    <mergeCell ref="A125:G125"/>
    <mergeCell ref="A110:G110"/>
    <mergeCell ref="A514:G514"/>
    <mergeCell ref="A395:G399"/>
    <mergeCell ref="A424:G424"/>
    <mergeCell ref="A410:G410"/>
    <mergeCell ref="A301:G301"/>
    <mergeCell ref="A527:G527"/>
    <mergeCell ref="A523:G523"/>
    <mergeCell ref="A534:G534"/>
    <mergeCell ref="A4:G5"/>
    <mergeCell ref="A42:F42"/>
    <mergeCell ref="A515:G515"/>
    <mergeCell ref="A516:G516"/>
    <mergeCell ref="A517:G517"/>
    <mergeCell ref="A519:G519"/>
    <mergeCell ref="A518:G518"/>
    <mergeCell ref="A423:F423"/>
    <mergeCell ref="A521:G521"/>
    <mergeCell ref="A524:G524"/>
    <mergeCell ref="A525:G525"/>
    <mergeCell ref="A526:G526"/>
    <mergeCell ref="A522:G522"/>
  </mergeCells>
  <conditionalFormatting sqref="F22:F39">
    <cfRule type="cellIs" dxfId="169" priority="179" operator="greaterThan">
      <formula>110</formula>
    </cfRule>
    <cfRule type="cellIs" dxfId="168" priority="180" operator="lessThan">
      <formula>90</formula>
    </cfRule>
  </conditionalFormatting>
  <conditionalFormatting sqref="F45:F49">
    <cfRule type="cellIs" dxfId="167" priority="175" operator="lessThan">
      <formula>90</formula>
    </cfRule>
    <cfRule type="cellIs" dxfId="166" priority="174" operator="greaterThan">
      <formula>110</formula>
    </cfRule>
  </conditionalFormatting>
  <conditionalFormatting sqref="F54:F72">
    <cfRule type="cellIs" dxfId="165" priority="169" operator="greaterThan">
      <formula>110</formula>
    </cfRule>
    <cfRule type="cellIs" dxfId="164" priority="170" operator="lessThan">
      <formula>90</formula>
    </cfRule>
  </conditionalFormatting>
  <conditionalFormatting sqref="F78:F81">
    <cfRule type="cellIs" dxfId="163" priority="165" operator="lessThan">
      <formula>90</formula>
    </cfRule>
    <cfRule type="cellIs" dxfId="162" priority="164" operator="greaterThan">
      <formula>110</formula>
    </cfRule>
  </conditionalFormatting>
  <conditionalFormatting sqref="F87:F88">
    <cfRule type="cellIs" dxfId="161" priority="160" operator="lessThan">
      <formula>90</formula>
    </cfRule>
    <cfRule type="cellIs" dxfId="160" priority="159" operator="greaterThan">
      <formula>110</formula>
    </cfRule>
  </conditionalFormatting>
  <conditionalFormatting sqref="F93:F98">
    <cfRule type="cellIs" dxfId="159" priority="4" operator="greaterThan">
      <formula>110</formula>
    </cfRule>
    <cfRule type="cellIs" dxfId="158" priority="5" operator="lessThan">
      <formula>90</formula>
    </cfRule>
  </conditionalFormatting>
  <conditionalFormatting sqref="F105:F108">
    <cfRule type="cellIs" dxfId="157" priority="150" operator="lessThan">
      <formula>90</formula>
    </cfRule>
    <cfRule type="cellIs" dxfId="156" priority="149" operator="greaterThan">
      <formula>110</formula>
    </cfRule>
  </conditionalFormatting>
  <conditionalFormatting sqref="F115:F122">
    <cfRule type="cellIs" dxfId="155" priority="145" operator="lessThan">
      <formula>90</formula>
    </cfRule>
    <cfRule type="cellIs" dxfId="154" priority="144" operator="greaterThan">
      <formula>110</formula>
    </cfRule>
  </conditionalFormatting>
  <conditionalFormatting sqref="F131:F132">
    <cfRule type="cellIs" dxfId="153" priority="139" operator="greaterThan">
      <formula>110</formula>
    </cfRule>
    <cfRule type="cellIs" dxfId="152" priority="140" operator="lessThan">
      <formula>90</formula>
    </cfRule>
  </conditionalFormatting>
  <conditionalFormatting sqref="F146:F150">
    <cfRule type="cellIs" dxfId="151" priority="134" operator="greaterThan">
      <formula>110</formula>
    </cfRule>
    <cfRule type="cellIs" dxfId="150" priority="135" operator="lessThan">
      <formula>90</formula>
    </cfRule>
  </conditionalFormatting>
  <conditionalFormatting sqref="F156:F187">
    <cfRule type="cellIs" dxfId="149" priority="129" operator="greaterThan">
      <formula>110</formula>
    </cfRule>
    <cfRule type="cellIs" dxfId="148" priority="130" operator="lessThan">
      <formula>90</formula>
    </cfRule>
  </conditionalFormatting>
  <conditionalFormatting sqref="F193:F197">
    <cfRule type="cellIs" dxfId="147" priority="125" operator="lessThan">
      <formula>90</formula>
    </cfRule>
    <cfRule type="cellIs" dxfId="146" priority="124" operator="greaterThan">
      <formula>110</formula>
    </cfRule>
  </conditionalFormatting>
  <conditionalFormatting sqref="F203:F206">
    <cfRule type="cellIs" dxfId="145" priority="119" operator="greaterThan">
      <formula>110</formula>
    </cfRule>
    <cfRule type="cellIs" dxfId="144" priority="120" operator="lessThan">
      <formula>90</formula>
    </cfRule>
  </conditionalFormatting>
  <conditionalFormatting sqref="F214:F218">
    <cfRule type="cellIs" dxfId="143" priority="115" operator="lessThan">
      <formula>90</formula>
    </cfRule>
    <cfRule type="cellIs" dxfId="142" priority="114" operator="greaterThan">
      <formula>110</formula>
    </cfRule>
  </conditionalFormatting>
  <conditionalFormatting sqref="F224:F226">
    <cfRule type="cellIs" dxfId="141" priority="110" operator="lessThan">
      <formula>90</formula>
    </cfRule>
    <cfRule type="cellIs" dxfId="140" priority="109" operator="greaterThan">
      <formula>110</formula>
    </cfRule>
  </conditionalFormatting>
  <conditionalFormatting sqref="F232:F239">
    <cfRule type="cellIs" dxfId="139" priority="104" operator="greaterThan">
      <formula>110</formula>
    </cfRule>
    <cfRule type="cellIs" dxfId="138" priority="105" operator="lessThan">
      <formula>90</formula>
    </cfRule>
  </conditionalFormatting>
  <conditionalFormatting sqref="F247:F252">
    <cfRule type="cellIs" dxfId="137" priority="100" operator="lessThan">
      <formula>90</formula>
    </cfRule>
    <cfRule type="cellIs" dxfId="136" priority="99" operator="greaterThan">
      <formula>110</formula>
    </cfRule>
  </conditionalFormatting>
  <conditionalFormatting sqref="F258:F266">
    <cfRule type="cellIs" dxfId="135" priority="94" operator="greaterThan">
      <formula>110</formula>
    </cfRule>
    <cfRule type="cellIs" dxfId="134" priority="95" operator="lessThan">
      <formula>90</formula>
    </cfRule>
  </conditionalFormatting>
  <conditionalFormatting sqref="F271:F272">
    <cfRule type="cellIs" dxfId="133" priority="89" operator="greaterThan">
      <formula>110</formula>
    </cfRule>
    <cfRule type="cellIs" dxfId="132" priority="90" operator="lessThan">
      <formula>90</formula>
    </cfRule>
  </conditionalFormatting>
  <conditionalFormatting sqref="F274:F275 F277:F278 F280:F281">
    <cfRule type="cellIs" dxfId="131" priority="85" operator="lessThan">
      <formula>90</formula>
    </cfRule>
    <cfRule type="cellIs" dxfId="130" priority="84" operator="greaterThan">
      <formula>110</formula>
    </cfRule>
  </conditionalFormatting>
  <conditionalFormatting sqref="F287:F299">
    <cfRule type="cellIs" dxfId="129" priority="79" operator="greaterThan">
      <formula>110</formula>
    </cfRule>
    <cfRule type="cellIs" dxfId="128" priority="80" operator="lessThan">
      <formula>90</formula>
    </cfRule>
  </conditionalFormatting>
  <conditionalFormatting sqref="F302:F303">
    <cfRule type="cellIs" dxfId="127" priority="308" operator="lessThan">
      <formula>90</formula>
    </cfRule>
    <cfRule type="cellIs" dxfId="126" priority="309" operator="greaterThan">
      <formula>110</formula>
    </cfRule>
  </conditionalFormatting>
  <conditionalFormatting sqref="F306:F317">
    <cfRule type="cellIs" dxfId="125" priority="74" operator="greaterThan">
      <formula>110</formula>
    </cfRule>
    <cfRule type="cellIs" dxfId="124" priority="75" operator="lessThan">
      <formula>90</formula>
    </cfRule>
  </conditionalFormatting>
  <conditionalFormatting sqref="F322:F334">
    <cfRule type="cellIs" dxfId="123" priority="69" operator="greaterThan">
      <formula>110</formula>
    </cfRule>
    <cfRule type="cellIs" dxfId="122" priority="70" operator="lessThan">
      <formula>90</formula>
    </cfRule>
  </conditionalFormatting>
  <conditionalFormatting sqref="F339:F343">
    <cfRule type="cellIs" dxfId="121" priority="65" operator="lessThan">
      <formula>90</formula>
    </cfRule>
    <cfRule type="cellIs" dxfId="120" priority="64" operator="greaterThan">
      <formula>110</formula>
    </cfRule>
  </conditionalFormatting>
  <conditionalFormatting sqref="F349:F369">
    <cfRule type="cellIs" dxfId="119" priority="59" operator="greaterThan">
      <formula>110</formula>
    </cfRule>
    <cfRule type="cellIs" dxfId="118" priority="60" operator="lessThan">
      <formula>90</formula>
    </cfRule>
  </conditionalFormatting>
  <conditionalFormatting sqref="F374:F393">
    <cfRule type="cellIs" dxfId="117" priority="54" operator="greaterThan">
      <formula>110</formula>
    </cfRule>
    <cfRule type="cellIs" dxfId="116" priority="55" operator="lessThan">
      <formula>90</formula>
    </cfRule>
  </conditionalFormatting>
  <conditionalFormatting sqref="F404:F408">
    <cfRule type="cellIs" dxfId="115" priority="49" operator="greaterThan">
      <formula>110</formula>
    </cfRule>
    <cfRule type="cellIs" dxfId="114" priority="50" operator="lessThan">
      <formula>90</formula>
    </cfRule>
  </conditionalFormatting>
  <conditionalFormatting sqref="F415:F421">
    <cfRule type="cellIs" dxfId="113" priority="45" operator="lessThan">
      <formula>90</formula>
    </cfRule>
    <cfRule type="cellIs" dxfId="112" priority="44" operator="greaterThan">
      <formula>110</formula>
    </cfRule>
  </conditionalFormatting>
  <conditionalFormatting sqref="F429:F436">
    <cfRule type="cellIs" dxfId="111" priority="40" operator="lessThan">
      <formula>90</formula>
    </cfRule>
    <cfRule type="cellIs" dxfId="110" priority="39" operator="greaterThan">
      <formula>110</formula>
    </cfRule>
  </conditionalFormatting>
  <conditionalFormatting sqref="F442:F450">
    <cfRule type="cellIs" dxfId="109" priority="35" operator="lessThan">
      <formula>90</formula>
    </cfRule>
    <cfRule type="cellIs" dxfId="108" priority="34" operator="greaterThan">
      <formula>110</formula>
    </cfRule>
  </conditionalFormatting>
  <conditionalFormatting sqref="F456:F464">
    <cfRule type="cellIs" dxfId="107" priority="29" operator="greaterThan">
      <formula>110</formula>
    </cfRule>
    <cfRule type="cellIs" dxfId="106" priority="30" operator="lessThan">
      <formula>90</formula>
    </cfRule>
  </conditionalFormatting>
  <conditionalFormatting sqref="F469:F473">
    <cfRule type="cellIs" dxfId="105" priority="25" operator="lessThan">
      <formula>90</formula>
    </cfRule>
    <cfRule type="cellIs" dxfId="104" priority="24" operator="greaterThan">
      <formula>110</formula>
    </cfRule>
  </conditionalFormatting>
  <conditionalFormatting sqref="F479:F501">
    <cfRule type="cellIs" dxfId="103" priority="20" operator="lessThan">
      <formula>90</formula>
    </cfRule>
    <cfRule type="cellIs" dxfId="102" priority="19" operator="greaterThan">
      <formula>110</formula>
    </cfRule>
  </conditionalFormatting>
  <conditionalFormatting sqref="F507:F510">
    <cfRule type="cellIs" dxfId="101" priority="15" operator="lessThan">
      <formula>90</formula>
    </cfRule>
    <cfRule type="cellIs" dxfId="100" priority="14" operator="greaterThan">
      <formula>110</formula>
    </cfRule>
  </conditionalFormatting>
  <conditionalFormatting sqref="F530:F531">
    <cfRule type="cellIs" dxfId="99" priority="10" operator="lessThan">
      <formula>90</formula>
    </cfRule>
    <cfRule type="cellIs" dxfId="98" priority="9" operator="greaterThan">
      <formula>110</formula>
    </cfRule>
  </conditionalFormatting>
  <conditionalFormatting sqref="G22:G39">
    <cfRule type="expression" dxfId="97" priority="176">
      <formula>AND(F22&lt;=90,(E22-C22&gt;=0.05))</formula>
    </cfRule>
    <cfRule type="expression" dxfId="96" priority="177">
      <formula>AND(F22&gt;=110,(C22-E22&gt;=0.05))</formula>
    </cfRule>
    <cfRule type="dataBar" priority="178">
      <dataBar showValue="0">
        <cfvo type="num" val="-100"/>
        <cfvo type="num" val="200"/>
        <color theme="8"/>
      </dataBar>
      <extLst>
        <ext xmlns:x14="http://schemas.microsoft.com/office/spreadsheetml/2009/9/main" uri="{B025F937-C7B1-47D3-B67F-A62EFF666E3E}">
          <x14:id>{6155CD23-AE23-40BC-92DC-7A8A01C91887}</x14:id>
        </ext>
      </extLst>
    </cfRule>
  </conditionalFormatting>
  <conditionalFormatting sqref="G45:G49">
    <cfRule type="expression" dxfId="95" priority="171">
      <formula>AND(F45&lt;=90,(E45-C45&gt;=0.05))</formula>
    </cfRule>
    <cfRule type="expression" dxfId="94" priority="172">
      <formula>AND(F45&gt;=110,(C45-E45&gt;=0.05))</formula>
    </cfRule>
    <cfRule type="dataBar" priority="173">
      <dataBar showValue="0">
        <cfvo type="num" val="-100"/>
        <cfvo type="num" val="200"/>
        <color theme="8"/>
      </dataBar>
      <extLst>
        <ext xmlns:x14="http://schemas.microsoft.com/office/spreadsheetml/2009/9/main" uri="{B025F937-C7B1-47D3-B67F-A62EFF666E3E}">
          <x14:id>{9ECD95B0-BC21-4C8E-8C5A-26C49DDB435E}</x14:id>
        </ext>
      </extLst>
    </cfRule>
  </conditionalFormatting>
  <conditionalFormatting sqref="G54:G72">
    <cfRule type="expression" dxfId="93" priority="166">
      <formula>AND(F54&lt;=90,(E54-C54&gt;=0.05))</formula>
    </cfRule>
    <cfRule type="expression" dxfId="92" priority="167">
      <formula>AND(F54&gt;=110,(C54-E54&gt;=0.05))</formula>
    </cfRule>
    <cfRule type="dataBar" priority="168">
      <dataBar showValue="0">
        <cfvo type="num" val="-100"/>
        <cfvo type="num" val="200"/>
        <color theme="8"/>
      </dataBar>
      <extLst>
        <ext xmlns:x14="http://schemas.microsoft.com/office/spreadsheetml/2009/9/main" uri="{B025F937-C7B1-47D3-B67F-A62EFF666E3E}">
          <x14:id>{082E2BBD-37B7-412D-A349-ED66DE1AF37C}</x14:id>
        </ext>
      </extLst>
    </cfRule>
  </conditionalFormatting>
  <conditionalFormatting sqref="G78:G81">
    <cfRule type="expression" dxfId="91" priority="161">
      <formula>AND(F78&lt;=90,(E78-C78&gt;=0.05))</formula>
    </cfRule>
    <cfRule type="expression" dxfId="90" priority="162">
      <formula>AND(F78&gt;=110,(C78-E78&gt;=0.05))</formula>
    </cfRule>
    <cfRule type="dataBar" priority="163">
      <dataBar showValue="0">
        <cfvo type="num" val="-100"/>
        <cfvo type="num" val="200"/>
        <color theme="8"/>
      </dataBar>
      <extLst>
        <ext xmlns:x14="http://schemas.microsoft.com/office/spreadsheetml/2009/9/main" uri="{B025F937-C7B1-47D3-B67F-A62EFF666E3E}">
          <x14:id>{F9AFC219-869C-4436-8D02-7D221E7F1566}</x14:id>
        </ext>
      </extLst>
    </cfRule>
  </conditionalFormatting>
  <conditionalFormatting sqref="G87:G88">
    <cfRule type="dataBar" priority="158">
      <dataBar showValue="0">
        <cfvo type="num" val="-100"/>
        <cfvo type="num" val="200"/>
        <color theme="8"/>
      </dataBar>
      <extLst>
        <ext xmlns:x14="http://schemas.microsoft.com/office/spreadsheetml/2009/9/main" uri="{B025F937-C7B1-47D3-B67F-A62EFF666E3E}">
          <x14:id>{6FF38260-D964-4346-A3E6-0810BCC9CFF4}</x14:id>
        </ext>
      </extLst>
    </cfRule>
    <cfRule type="expression" dxfId="89" priority="157">
      <formula>AND(F87&gt;=110,(C87-E87&gt;=0.05))</formula>
    </cfRule>
    <cfRule type="expression" dxfId="88" priority="156">
      <formula>AND(F87&lt;=90,(E87-C87&gt;=0.05))</formula>
    </cfRule>
  </conditionalFormatting>
  <conditionalFormatting sqref="G93:G98">
    <cfRule type="expression" dxfId="87" priority="2">
      <formula>AND(F93&gt;=110,(C93-E93&gt;=0.05))</formula>
    </cfRule>
    <cfRule type="expression" dxfId="86" priority="1">
      <formula>AND(F93&lt;=90,(E93-C93&gt;=0.05))</formula>
    </cfRule>
  </conditionalFormatting>
  <conditionalFormatting sqref="G94">
    <cfRule type="dataBar" priority="3">
      <dataBar showValue="0">
        <cfvo type="num" val="-100"/>
        <cfvo type="num" val="200"/>
        <color theme="8"/>
      </dataBar>
      <extLst>
        <ext xmlns:x14="http://schemas.microsoft.com/office/spreadsheetml/2009/9/main" uri="{B025F937-C7B1-47D3-B67F-A62EFF666E3E}">
          <x14:id>{1C3BD24B-A9DF-4F4B-9ACB-34EDCCCB111D}</x14:id>
        </ext>
      </extLst>
    </cfRule>
  </conditionalFormatting>
  <conditionalFormatting sqref="G95:G98 G93">
    <cfRule type="dataBar" priority="153">
      <dataBar showValue="0">
        <cfvo type="num" val="-100"/>
        <cfvo type="num" val="200"/>
        <color theme="8"/>
      </dataBar>
      <extLst>
        <ext xmlns:x14="http://schemas.microsoft.com/office/spreadsheetml/2009/9/main" uri="{B025F937-C7B1-47D3-B67F-A62EFF666E3E}">
          <x14:id>{C9D8B871-3B4A-4796-8F24-9D3B563E72B2}</x14:id>
        </ext>
      </extLst>
    </cfRule>
  </conditionalFormatting>
  <conditionalFormatting sqref="G105:G108">
    <cfRule type="dataBar" priority="148">
      <dataBar showValue="0">
        <cfvo type="num" val="-100"/>
        <cfvo type="num" val="200"/>
        <color theme="8"/>
      </dataBar>
      <extLst>
        <ext xmlns:x14="http://schemas.microsoft.com/office/spreadsheetml/2009/9/main" uri="{B025F937-C7B1-47D3-B67F-A62EFF666E3E}">
          <x14:id>{23039739-65AC-4C35-8D28-E0751335C7E9}</x14:id>
        </ext>
      </extLst>
    </cfRule>
    <cfRule type="expression" dxfId="85" priority="147">
      <formula>AND(F105&gt;=110,(C105-E105&gt;=0.05))</formula>
    </cfRule>
    <cfRule type="expression" dxfId="84" priority="146">
      <formula>AND(F105&lt;=90,(E105-C105&gt;=0.05))</formula>
    </cfRule>
  </conditionalFormatting>
  <conditionalFormatting sqref="G115:G122">
    <cfRule type="dataBar" priority="143">
      <dataBar showValue="0">
        <cfvo type="num" val="-100"/>
        <cfvo type="num" val="200"/>
        <color theme="8"/>
      </dataBar>
      <extLst>
        <ext xmlns:x14="http://schemas.microsoft.com/office/spreadsheetml/2009/9/main" uri="{B025F937-C7B1-47D3-B67F-A62EFF666E3E}">
          <x14:id>{EB73FD22-ECCC-4C0D-95B9-04D381F9ECE8}</x14:id>
        </ext>
      </extLst>
    </cfRule>
    <cfRule type="expression" dxfId="83" priority="141">
      <formula>AND(F115&lt;=90,(E115-C115&gt;=0.05))</formula>
    </cfRule>
    <cfRule type="expression" dxfId="82" priority="142">
      <formula>AND(F115&gt;=110,(C115-E115&gt;=0.05))</formula>
    </cfRule>
  </conditionalFormatting>
  <conditionalFormatting sqref="G131:G132">
    <cfRule type="dataBar" priority="138">
      <dataBar showValue="0">
        <cfvo type="num" val="-100"/>
        <cfvo type="num" val="200"/>
        <color theme="8"/>
      </dataBar>
      <extLst>
        <ext xmlns:x14="http://schemas.microsoft.com/office/spreadsheetml/2009/9/main" uri="{B025F937-C7B1-47D3-B67F-A62EFF666E3E}">
          <x14:id>{99C21F28-876D-4004-B94B-4480032FDC2E}</x14:id>
        </ext>
      </extLst>
    </cfRule>
    <cfRule type="expression" dxfId="81" priority="137">
      <formula>AND(F131&gt;=110,(C131-E131&gt;=0.05))</formula>
    </cfRule>
    <cfRule type="expression" dxfId="80" priority="136">
      <formula>AND(F131&lt;=90,(E131-C131&gt;=0.05))</formula>
    </cfRule>
  </conditionalFormatting>
  <conditionalFormatting sqref="G146:G150">
    <cfRule type="dataBar" priority="133">
      <dataBar showValue="0">
        <cfvo type="num" val="-100"/>
        <cfvo type="num" val="200"/>
        <color theme="8"/>
      </dataBar>
      <extLst>
        <ext xmlns:x14="http://schemas.microsoft.com/office/spreadsheetml/2009/9/main" uri="{B025F937-C7B1-47D3-B67F-A62EFF666E3E}">
          <x14:id>{BF6196E8-5391-4567-8C3B-8EFC6C1A8CC8}</x14:id>
        </ext>
      </extLst>
    </cfRule>
    <cfRule type="expression" dxfId="79" priority="131">
      <formula>AND(F146&lt;=90,(E146-C146&gt;=0.05))</formula>
    </cfRule>
    <cfRule type="expression" dxfId="78" priority="132">
      <formula>AND(F146&gt;=110,(C146-E146&gt;=0.05))</formula>
    </cfRule>
  </conditionalFormatting>
  <conditionalFormatting sqref="G156:G187">
    <cfRule type="dataBar" priority="128">
      <dataBar showValue="0">
        <cfvo type="num" val="-100"/>
        <cfvo type="num" val="200"/>
        <color theme="8"/>
      </dataBar>
      <extLst>
        <ext xmlns:x14="http://schemas.microsoft.com/office/spreadsheetml/2009/9/main" uri="{B025F937-C7B1-47D3-B67F-A62EFF666E3E}">
          <x14:id>{B3D23395-1D2B-4681-B116-3AA656FED9AC}</x14:id>
        </ext>
      </extLst>
    </cfRule>
    <cfRule type="expression" dxfId="77" priority="127">
      <formula>AND(F156&gt;=110,(C156-E156&gt;=0.05))</formula>
    </cfRule>
    <cfRule type="expression" dxfId="76" priority="126">
      <formula>AND(F156&lt;=90,(E156-C156&gt;=0.05))</formula>
    </cfRule>
  </conditionalFormatting>
  <conditionalFormatting sqref="G193:G197">
    <cfRule type="expression" dxfId="75" priority="122">
      <formula>AND(F193&gt;=110,(C193-E193&gt;=0.05))</formula>
    </cfRule>
    <cfRule type="dataBar" priority="123">
      <dataBar showValue="0">
        <cfvo type="num" val="-100"/>
        <cfvo type="num" val="200"/>
        <color theme="8"/>
      </dataBar>
      <extLst>
        <ext xmlns:x14="http://schemas.microsoft.com/office/spreadsheetml/2009/9/main" uri="{B025F937-C7B1-47D3-B67F-A62EFF666E3E}">
          <x14:id>{36A879CF-4527-43CB-9709-71223C134967}</x14:id>
        </ext>
      </extLst>
    </cfRule>
    <cfRule type="expression" dxfId="74" priority="121">
      <formula>AND(F193&lt;=90,(E193-C193&gt;=0.05))</formula>
    </cfRule>
  </conditionalFormatting>
  <conditionalFormatting sqref="G203:G206">
    <cfRule type="expression" dxfId="73" priority="116">
      <formula>AND(F203&lt;=90,(E203-C203&gt;=0.05))</formula>
    </cfRule>
    <cfRule type="expression" dxfId="72" priority="117">
      <formula>AND(F203&gt;=110,(C203-E203&gt;=0.05))</formula>
    </cfRule>
    <cfRule type="dataBar" priority="118">
      <dataBar showValue="0">
        <cfvo type="num" val="-100"/>
        <cfvo type="num" val="200"/>
        <color theme="8"/>
      </dataBar>
      <extLst>
        <ext xmlns:x14="http://schemas.microsoft.com/office/spreadsheetml/2009/9/main" uri="{B025F937-C7B1-47D3-B67F-A62EFF666E3E}">
          <x14:id>{7C2577E2-68C8-4F73-9367-B17E09FF689B}</x14:id>
        </ext>
      </extLst>
    </cfRule>
  </conditionalFormatting>
  <conditionalFormatting sqref="G214:G218">
    <cfRule type="dataBar" priority="113">
      <dataBar showValue="0">
        <cfvo type="num" val="-100"/>
        <cfvo type="num" val="200"/>
        <color theme="8"/>
      </dataBar>
      <extLst>
        <ext xmlns:x14="http://schemas.microsoft.com/office/spreadsheetml/2009/9/main" uri="{B025F937-C7B1-47D3-B67F-A62EFF666E3E}">
          <x14:id>{7FC22331-0B26-4205-92FB-F0B61382F7FB}</x14:id>
        </ext>
      </extLst>
    </cfRule>
    <cfRule type="expression" dxfId="71" priority="111">
      <formula>AND(F214&lt;=90,(E214-C214&gt;=0.05))</formula>
    </cfRule>
    <cfRule type="expression" dxfId="70" priority="112">
      <formula>AND(F214&gt;=110,(C214-E214&gt;=0.05))</formula>
    </cfRule>
  </conditionalFormatting>
  <conditionalFormatting sqref="G224:G226">
    <cfRule type="dataBar" priority="108">
      <dataBar showValue="0">
        <cfvo type="num" val="-100"/>
        <cfvo type="num" val="200"/>
        <color theme="8"/>
      </dataBar>
      <extLst>
        <ext xmlns:x14="http://schemas.microsoft.com/office/spreadsheetml/2009/9/main" uri="{B025F937-C7B1-47D3-B67F-A62EFF666E3E}">
          <x14:id>{99E87D43-B8C8-44EB-8B2A-8FA0E845E592}</x14:id>
        </ext>
      </extLst>
    </cfRule>
    <cfRule type="expression" dxfId="69" priority="107">
      <formula>AND(F224&gt;=110,(C224-E224&gt;=0.05))</formula>
    </cfRule>
    <cfRule type="expression" dxfId="68" priority="106">
      <formula>AND(F224&lt;=90,(E224-C224&gt;=0.05))</formula>
    </cfRule>
  </conditionalFormatting>
  <conditionalFormatting sqref="G232:G239">
    <cfRule type="dataBar" priority="103">
      <dataBar showValue="0">
        <cfvo type="num" val="-100"/>
        <cfvo type="num" val="200"/>
        <color theme="8"/>
      </dataBar>
      <extLst>
        <ext xmlns:x14="http://schemas.microsoft.com/office/spreadsheetml/2009/9/main" uri="{B025F937-C7B1-47D3-B67F-A62EFF666E3E}">
          <x14:id>{8034134D-77B9-49AE-B26B-CD5BCE9C3FBC}</x14:id>
        </ext>
      </extLst>
    </cfRule>
    <cfRule type="expression" dxfId="67" priority="102">
      <formula>AND(F232&gt;=110,(C232-E232&gt;=0.05))</formula>
    </cfRule>
    <cfRule type="expression" dxfId="66" priority="101">
      <formula>AND(F232&lt;=90,(E232-C232&gt;=0.05))</formula>
    </cfRule>
  </conditionalFormatting>
  <conditionalFormatting sqref="G247:G252">
    <cfRule type="expression" dxfId="65" priority="97">
      <formula>AND(F247&gt;=110,(C247-E247&gt;=0.05))</formula>
    </cfRule>
    <cfRule type="expression" dxfId="64" priority="96">
      <formula>AND(F247&lt;=90,(E247-C247&gt;=0.05))</formula>
    </cfRule>
    <cfRule type="dataBar" priority="98">
      <dataBar showValue="0">
        <cfvo type="num" val="-100"/>
        <cfvo type="num" val="200"/>
        <color theme="8"/>
      </dataBar>
      <extLst>
        <ext xmlns:x14="http://schemas.microsoft.com/office/spreadsheetml/2009/9/main" uri="{B025F937-C7B1-47D3-B67F-A62EFF666E3E}">
          <x14:id>{C0BC2106-5C80-4C67-AAA3-60212F7726C6}</x14:id>
        </ext>
      </extLst>
    </cfRule>
  </conditionalFormatting>
  <conditionalFormatting sqref="G258:G266">
    <cfRule type="expression" dxfId="63" priority="91">
      <formula>AND(F258&lt;=90,(E258-C258&gt;=0.05))</formula>
    </cfRule>
    <cfRule type="expression" dxfId="62" priority="92">
      <formula>AND(F258&gt;=110,(C258-E258&gt;=0.05))</formula>
    </cfRule>
    <cfRule type="dataBar" priority="93">
      <dataBar showValue="0">
        <cfvo type="num" val="-100"/>
        <cfvo type="num" val="200"/>
        <color theme="8"/>
      </dataBar>
      <extLst>
        <ext xmlns:x14="http://schemas.microsoft.com/office/spreadsheetml/2009/9/main" uri="{B025F937-C7B1-47D3-B67F-A62EFF666E3E}">
          <x14:id>{D9544ACD-5019-4365-A321-701D7D6C5BB0}</x14:id>
        </ext>
      </extLst>
    </cfRule>
  </conditionalFormatting>
  <conditionalFormatting sqref="G271:G272">
    <cfRule type="dataBar" priority="88">
      <dataBar showValue="0">
        <cfvo type="num" val="-100"/>
        <cfvo type="num" val="200"/>
        <color theme="8"/>
      </dataBar>
      <extLst>
        <ext xmlns:x14="http://schemas.microsoft.com/office/spreadsheetml/2009/9/main" uri="{B025F937-C7B1-47D3-B67F-A62EFF666E3E}">
          <x14:id>{BCE59ACB-1FA4-42DF-820B-5E58ADD78F30}</x14:id>
        </ext>
      </extLst>
    </cfRule>
    <cfRule type="expression" dxfId="61" priority="87">
      <formula>AND(F271&gt;=110,(C271-E271&gt;=0.05))</formula>
    </cfRule>
    <cfRule type="expression" dxfId="60" priority="86">
      <formula>AND(F271&lt;=90,(E271-C271&gt;=0.05))</formula>
    </cfRule>
  </conditionalFormatting>
  <conditionalFormatting sqref="G274:G275 G277:G278 G280:G281">
    <cfRule type="expression" dxfId="59" priority="81">
      <formula>AND(F274&lt;=90,(E274-C274&gt;=0.05))</formula>
    </cfRule>
    <cfRule type="expression" dxfId="58" priority="82">
      <formula>AND(F274&gt;=110,(C274-E274&gt;=0.05))</formula>
    </cfRule>
  </conditionalFormatting>
  <conditionalFormatting sqref="G280:G281 G277:G278 G274:G275">
    <cfRule type="dataBar" priority="83">
      <dataBar showValue="0">
        <cfvo type="num" val="-100"/>
        <cfvo type="num" val="200"/>
        <color theme="8"/>
      </dataBar>
      <extLst>
        <ext xmlns:x14="http://schemas.microsoft.com/office/spreadsheetml/2009/9/main" uri="{B025F937-C7B1-47D3-B67F-A62EFF666E3E}">
          <x14:id>{7DEAC626-B2B9-4872-979E-496357B3918E}</x14:id>
        </ext>
      </extLst>
    </cfRule>
  </conditionalFormatting>
  <conditionalFormatting sqref="G287:G299">
    <cfRule type="expression" dxfId="57" priority="77">
      <formula>AND(F287&gt;=110,(C287-E287&gt;=0.05))</formula>
    </cfRule>
    <cfRule type="expression" dxfId="56" priority="76">
      <formula>AND(F287&lt;=90,(E287-C287&gt;=0.05))</formula>
    </cfRule>
    <cfRule type="dataBar" priority="78">
      <dataBar showValue="0">
        <cfvo type="num" val="-100"/>
        <cfvo type="num" val="200"/>
        <color theme="8"/>
      </dataBar>
      <extLst>
        <ext xmlns:x14="http://schemas.microsoft.com/office/spreadsheetml/2009/9/main" uri="{B025F937-C7B1-47D3-B67F-A62EFF666E3E}">
          <x14:id>{51485168-0CFC-448A-92EB-739A4AEB31B4}</x14:id>
        </ext>
      </extLst>
    </cfRule>
  </conditionalFormatting>
  <conditionalFormatting sqref="G306:G317">
    <cfRule type="expression" dxfId="55" priority="72">
      <formula>AND(F306&gt;=110,(C306-E306&gt;=0.05))</formula>
    </cfRule>
    <cfRule type="expression" dxfId="54" priority="71">
      <formula>AND(F306&lt;=90,(E306-C306&gt;=0.05))</formula>
    </cfRule>
    <cfRule type="dataBar" priority="73">
      <dataBar showValue="0">
        <cfvo type="num" val="-100"/>
        <cfvo type="num" val="200"/>
        <color theme="8"/>
      </dataBar>
      <extLst>
        <ext xmlns:x14="http://schemas.microsoft.com/office/spreadsheetml/2009/9/main" uri="{B025F937-C7B1-47D3-B67F-A62EFF666E3E}">
          <x14:id>{A0DBD682-466D-4B05-8E99-9622D50952AE}</x14:id>
        </ext>
      </extLst>
    </cfRule>
  </conditionalFormatting>
  <conditionalFormatting sqref="G322:G334">
    <cfRule type="expression" dxfId="53" priority="67">
      <formula>AND(F322&gt;=110,(C322-E322&gt;=0.05))</formula>
    </cfRule>
    <cfRule type="expression" dxfId="52" priority="66">
      <formula>AND(F322&lt;=90,(E322-C322&gt;=0.05))</formula>
    </cfRule>
    <cfRule type="dataBar" priority="68">
      <dataBar showValue="0">
        <cfvo type="num" val="-100"/>
        <cfvo type="num" val="200"/>
        <color theme="8"/>
      </dataBar>
      <extLst>
        <ext xmlns:x14="http://schemas.microsoft.com/office/spreadsheetml/2009/9/main" uri="{B025F937-C7B1-47D3-B67F-A62EFF666E3E}">
          <x14:id>{93899D87-F16D-4237-AAF4-C9F1131DD1BC}</x14:id>
        </ext>
      </extLst>
    </cfRule>
  </conditionalFormatting>
  <conditionalFormatting sqref="G339:G343">
    <cfRule type="expression" dxfId="51" priority="61">
      <formula>AND(F339&lt;=90,(E339-C339&gt;=0.05))</formula>
    </cfRule>
    <cfRule type="dataBar" priority="63">
      <dataBar showValue="0">
        <cfvo type="num" val="-100"/>
        <cfvo type="num" val="200"/>
        <color theme="8"/>
      </dataBar>
      <extLst>
        <ext xmlns:x14="http://schemas.microsoft.com/office/spreadsheetml/2009/9/main" uri="{B025F937-C7B1-47D3-B67F-A62EFF666E3E}">
          <x14:id>{C31323EC-168E-4987-8BDA-FC4E44FCAC6F}</x14:id>
        </ext>
      </extLst>
    </cfRule>
    <cfRule type="expression" dxfId="50" priority="62">
      <formula>AND(F339&gt;=110,(C339-E339&gt;=0.05))</formula>
    </cfRule>
  </conditionalFormatting>
  <conditionalFormatting sqref="G349:G369">
    <cfRule type="dataBar" priority="58">
      <dataBar showValue="0">
        <cfvo type="num" val="-100"/>
        <cfvo type="num" val="200"/>
        <color theme="8"/>
      </dataBar>
      <extLst>
        <ext xmlns:x14="http://schemas.microsoft.com/office/spreadsheetml/2009/9/main" uri="{B025F937-C7B1-47D3-B67F-A62EFF666E3E}">
          <x14:id>{418A9240-5F96-4E19-ABEB-FA08D987ACF7}</x14:id>
        </ext>
      </extLst>
    </cfRule>
    <cfRule type="expression" dxfId="49" priority="57">
      <formula>AND(F349&gt;=110,(C349-E349&gt;=0.05))</formula>
    </cfRule>
    <cfRule type="expression" dxfId="48" priority="56">
      <formula>AND(F349&lt;=90,(E349-C349&gt;=0.05))</formula>
    </cfRule>
  </conditionalFormatting>
  <conditionalFormatting sqref="G374:G393">
    <cfRule type="expression" dxfId="47" priority="51">
      <formula>AND(F374&lt;=90,(E374-C374&gt;=0.05))</formula>
    </cfRule>
    <cfRule type="dataBar" priority="53">
      <dataBar showValue="0">
        <cfvo type="num" val="-100"/>
        <cfvo type="num" val="200"/>
        <color theme="8"/>
      </dataBar>
      <extLst>
        <ext xmlns:x14="http://schemas.microsoft.com/office/spreadsheetml/2009/9/main" uri="{B025F937-C7B1-47D3-B67F-A62EFF666E3E}">
          <x14:id>{37A5BE74-DDD6-4040-B207-31353B453358}</x14:id>
        </ext>
      </extLst>
    </cfRule>
    <cfRule type="expression" dxfId="46" priority="52">
      <formula>AND(F374&gt;=110,(C374-E374&gt;=0.05))</formula>
    </cfRule>
  </conditionalFormatting>
  <conditionalFormatting sqref="G404:G408">
    <cfRule type="dataBar" priority="48">
      <dataBar showValue="0">
        <cfvo type="num" val="-100"/>
        <cfvo type="num" val="200"/>
        <color theme="8"/>
      </dataBar>
      <extLst>
        <ext xmlns:x14="http://schemas.microsoft.com/office/spreadsheetml/2009/9/main" uri="{B025F937-C7B1-47D3-B67F-A62EFF666E3E}">
          <x14:id>{05EE4EF2-67BB-4EFB-B294-67B9FA004E49}</x14:id>
        </ext>
      </extLst>
    </cfRule>
    <cfRule type="expression" dxfId="45" priority="47">
      <formula>AND(F404&gt;=110,(C404-E404&gt;=0.05))</formula>
    </cfRule>
    <cfRule type="expression" dxfId="44" priority="46">
      <formula>AND(F404&lt;=90,(E404-C404&gt;=0.05))</formula>
    </cfRule>
  </conditionalFormatting>
  <conditionalFormatting sqref="G415:G421">
    <cfRule type="dataBar" priority="43">
      <dataBar showValue="0">
        <cfvo type="num" val="-100"/>
        <cfvo type="num" val="200"/>
        <color theme="8"/>
      </dataBar>
      <extLst>
        <ext xmlns:x14="http://schemas.microsoft.com/office/spreadsheetml/2009/9/main" uri="{B025F937-C7B1-47D3-B67F-A62EFF666E3E}">
          <x14:id>{5DD03060-B455-4C71-8A1C-4006E45145FD}</x14:id>
        </ext>
      </extLst>
    </cfRule>
    <cfRule type="expression" dxfId="43" priority="42">
      <formula>AND(F415&gt;=110,(C415-E415&gt;=0.05))</formula>
    </cfRule>
    <cfRule type="expression" dxfId="42" priority="41">
      <formula>AND(F415&lt;=90,(E415-C415&gt;=0.05))</formula>
    </cfRule>
  </conditionalFormatting>
  <conditionalFormatting sqref="G429:G436">
    <cfRule type="expression" dxfId="41" priority="36">
      <formula>AND(F429&lt;=90,(E429-C429&gt;=0.05))</formula>
    </cfRule>
    <cfRule type="dataBar" priority="38">
      <dataBar showValue="0">
        <cfvo type="num" val="-100"/>
        <cfvo type="num" val="200"/>
        <color theme="8"/>
      </dataBar>
      <extLst>
        <ext xmlns:x14="http://schemas.microsoft.com/office/spreadsheetml/2009/9/main" uri="{B025F937-C7B1-47D3-B67F-A62EFF666E3E}">
          <x14:id>{88FAFEB7-1080-465A-AF4D-7BE4F2A1EB71}</x14:id>
        </ext>
      </extLst>
    </cfRule>
    <cfRule type="expression" dxfId="40" priority="37">
      <formula>AND(F429&gt;=110,(C429-E429&gt;=0.05))</formula>
    </cfRule>
  </conditionalFormatting>
  <conditionalFormatting sqref="G442:G450">
    <cfRule type="expression" dxfId="39" priority="31">
      <formula>AND(F442&lt;=90,(E442-C442&gt;=0.05))</formula>
    </cfRule>
    <cfRule type="dataBar" priority="33">
      <dataBar showValue="0">
        <cfvo type="num" val="-100"/>
        <cfvo type="num" val="200"/>
        <color theme="8"/>
      </dataBar>
      <extLst>
        <ext xmlns:x14="http://schemas.microsoft.com/office/spreadsheetml/2009/9/main" uri="{B025F937-C7B1-47D3-B67F-A62EFF666E3E}">
          <x14:id>{A3C87A8F-1EED-4B68-B696-9EE20B111C3A}</x14:id>
        </ext>
      </extLst>
    </cfRule>
    <cfRule type="expression" dxfId="38" priority="32">
      <formula>AND(F442&gt;=110,(C442-E442&gt;=0.05))</formula>
    </cfRule>
  </conditionalFormatting>
  <conditionalFormatting sqref="G456:G464">
    <cfRule type="dataBar" priority="28">
      <dataBar showValue="0">
        <cfvo type="num" val="-100"/>
        <cfvo type="num" val="200"/>
        <color theme="8"/>
      </dataBar>
      <extLst>
        <ext xmlns:x14="http://schemas.microsoft.com/office/spreadsheetml/2009/9/main" uri="{B025F937-C7B1-47D3-B67F-A62EFF666E3E}">
          <x14:id>{2017002F-80C0-4E3F-9D6E-E221CC27AD9F}</x14:id>
        </ext>
      </extLst>
    </cfRule>
    <cfRule type="expression" dxfId="37" priority="27">
      <formula>AND(F456&gt;=110,(C456-E456&gt;=0.05))</formula>
    </cfRule>
    <cfRule type="expression" dxfId="36" priority="26">
      <formula>AND(F456&lt;=90,(E456-C456&gt;=0.05))</formula>
    </cfRule>
  </conditionalFormatting>
  <conditionalFormatting sqref="G469:G473">
    <cfRule type="dataBar" priority="23">
      <dataBar showValue="0">
        <cfvo type="num" val="-100"/>
        <cfvo type="num" val="200"/>
        <color theme="8"/>
      </dataBar>
      <extLst>
        <ext xmlns:x14="http://schemas.microsoft.com/office/spreadsheetml/2009/9/main" uri="{B025F937-C7B1-47D3-B67F-A62EFF666E3E}">
          <x14:id>{948472AB-20EA-4B68-BDAD-066371E0B4F5}</x14:id>
        </ext>
      </extLst>
    </cfRule>
    <cfRule type="expression" dxfId="35" priority="22">
      <formula>AND(F469&gt;=110,(C469-E469&gt;=0.05))</formula>
    </cfRule>
    <cfRule type="expression" dxfId="34" priority="21">
      <formula>AND(F469&lt;=90,(E469-C469&gt;=0.05))</formula>
    </cfRule>
  </conditionalFormatting>
  <conditionalFormatting sqref="G479:G501">
    <cfRule type="dataBar" priority="18">
      <dataBar showValue="0">
        <cfvo type="num" val="-100"/>
        <cfvo type="num" val="200"/>
        <color theme="8"/>
      </dataBar>
      <extLst>
        <ext xmlns:x14="http://schemas.microsoft.com/office/spreadsheetml/2009/9/main" uri="{B025F937-C7B1-47D3-B67F-A62EFF666E3E}">
          <x14:id>{6C2DEF9D-F769-474D-9EFA-9688BD178778}</x14:id>
        </ext>
      </extLst>
    </cfRule>
    <cfRule type="expression" dxfId="33" priority="17">
      <formula>AND(F479&gt;=110,(C479-E479&gt;=0.05))</formula>
    </cfRule>
    <cfRule type="expression" dxfId="32" priority="16">
      <formula>AND(F479&lt;=90,(E479-C479&gt;=0.05))</formula>
    </cfRule>
  </conditionalFormatting>
  <conditionalFormatting sqref="G507:G510">
    <cfRule type="dataBar" priority="13">
      <dataBar showValue="0">
        <cfvo type="num" val="-100"/>
        <cfvo type="num" val="200"/>
        <color theme="8"/>
      </dataBar>
      <extLst>
        <ext xmlns:x14="http://schemas.microsoft.com/office/spreadsheetml/2009/9/main" uri="{B025F937-C7B1-47D3-B67F-A62EFF666E3E}">
          <x14:id>{99848AAF-79A5-4105-8B8D-970F753CA732}</x14:id>
        </ext>
      </extLst>
    </cfRule>
    <cfRule type="expression" dxfId="31" priority="12">
      <formula>AND(F507&gt;=110,(C507-E507&gt;=0.05))</formula>
    </cfRule>
    <cfRule type="expression" dxfId="30" priority="11">
      <formula>AND(F507&lt;=90,(E507-C507&gt;=0.05))</formula>
    </cfRule>
  </conditionalFormatting>
  <conditionalFormatting sqref="G530:G531">
    <cfRule type="dataBar" priority="8">
      <dataBar showValue="0">
        <cfvo type="num" val="-100"/>
        <cfvo type="num" val="200"/>
        <color theme="8"/>
      </dataBar>
      <extLst>
        <ext xmlns:x14="http://schemas.microsoft.com/office/spreadsheetml/2009/9/main" uri="{B025F937-C7B1-47D3-B67F-A62EFF666E3E}">
          <x14:id>{2770BD30-BD63-4F78-ACBB-40FE4F8C3674}</x14:id>
        </ext>
      </extLst>
    </cfRule>
    <cfRule type="expression" dxfId="29" priority="7">
      <formula>AND(F530&gt;=110,(C530-E530&gt;=0.05))</formula>
    </cfRule>
    <cfRule type="expression" dxfId="28" priority="6">
      <formula>AND(F530&lt;=90,(E530-C530&gt;=0.05))</formula>
    </cfRule>
  </conditionalFormatting>
  <pageMargins left="0.70866141732283472" right="0.70866141732283472" top="0.74803149606299213" bottom="0.74803149606299213" header="0.31496062992125984" footer="0.31496062992125984"/>
  <pageSetup paperSize="9" scale="77" orientation="portrait" horizontalDpi="1200" verticalDpi="1200" r:id="rId1"/>
  <rowBreaks count="3" manualBreakCount="3">
    <brk id="41" max="4" man="1"/>
    <brk id="399" max="4" man="1"/>
    <brk id="411" max="4" man="1"/>
  </rowBreaks>
  <drawing r:id="rId2"/>
  <extLst>
    <ext xmlns:x14="http://schemas.microsoft.com/office/spreadsheetml/2009/9/main" uri="{78C0D931-6437-407d-A8EE-F0AAD7539E65}">
      <x14:conditionalFormattings>
        <x14:conditionalFormatting xmlns:xm="http://schemas.microsoft.com/office/excel/2006/main">
          <x14:cfRule type="dataBar" id="{6155CD23-AE23-40BC-92DC-7A8A01C91887}">
            <x14:dataBar minLength="0" maxLength="100" gradient="0" direction="leftToRight">
              <x14:cfvo type="num">
                <xm:f>-100</xm:f>
              </x14:cfvo>
              <x14:cfvo type="num">
                <xm:f>200</xm:f>
              </x14:cfvo>
              <x14:negativeFillColor theme="5"/>
              <x14:axisColor theme="1"/>
            </x14:dataBar>
          </x14:cfRule>
          <xm:sqref>G22:G39</xm:sqref>
        </x14:conditionalFormatting>
        <x14:conditionalFormatting xmlns:xm="http://schemas.microsoft.com/office/excel/2006/main">
          <x14:cfRule type="dataBar" id="{9ECD95B0-BC21-4C8E-8C5A-26C49DDB435E}">
            <x14:dataBar minLength="0" maxLength="100" gradient="0" direction="leftToRight">
              <x14:cfvo type="num">
                <xm:f>-100</xm:f>
              </x14:cfvo>
              <x14:cfvo type="num">
                <xm:f>200</xm:f>
              </x14:cfvo>
              <x14:negativeFillColor theme="5"/>
              <x14:axisColor theme="1"/>
            </x14:dataBar>
          </x14:cfRule>
          <xm:sqref>G45:G49</xm:sqref>
        </x14:conditionalFormatting>
        <x14:conditionalFormatting xmlns:xm="http://schemas.microsoft.com/office/excel/2006/main">
          <x14:cfRule type="dataBar" id="{082E2BBD-37B7-412D-A349-ED66DE1AF37C}">
            <x14:dataBar minLength="0" maxLength="100" gradient="0" direction="leftToRight">
              <x14:cfvo type="num">
                <xm:f>-100</xm:f>
              </x14:cfvo>
              <x14:cfvo type="num">
                <xm:f>200</xm:f>
              </x14:cfvo>
              <x14:negativeFillColor theme="5"/>
              <x14:axisColor theme="1"/>
            </x14:dataBar>
          </x14:cfRule>
          <xm:sqref>G54:G72</xm:sqref>
        </x14:conditionalFormatting>
        <x14:conditionalFormatting xmlns:xm="http://schemas.microsoft.com/office/excel/2006/main">
          <x14:cfRule type="dataBar" id="{F9AFC219-869C-4436-8D02-7D221E7F1566}">
            <x14:dataBar minLength="0" maxLength="100" gradient="0" direction="leftToRight">
              <x14:cfvo type="num">
                <xm:f>-100</xm:f>
              </x14:cfvo>
              <x14:cfvo type="num">
                <xm:f>200</xm:f>
              </x14:cfvo>
              <x14:negativeFillColor theme="5"/>
              <x14:axisColor theme="1"/>
            </x14:dataBar>
          </x14:cfRule>
          <xm:sqref>G78:G81</xm:sqref>
        </x14:conditionalFormatting>
        <x14:conditionalFormatting xmlns:xm="http://schemas.microsoft.com/office/excel/2006/main">
          <x14:cfRule type="dataBar" id="{6FF38260-D964-4346-A3E6-0810BCC9CFF4}">
            <x14:dataBar minLength="0" maxLength="100" gradient="0" direction="leftToRight">
              <x14:cfvo type="num">
                <xm:f>-100</xm:f>
              </x14:cfvo>
              <x14:cfvo type="num">
                <xm:f>200</xm:f>
              </x14:cfvo>
              <x14:negativeFillColor theme="5"/>
              <x14:axisColor theme="1"/>
            </x14:dataBar>
          </x14:cfRule>
          <xm:sqref>G87:G88</xm:sqref>
        </x14:conditionalFormatting>
        <x14:conditionalFormatting xmlns:xm="http://schemas.microsoft.com/office/excel/2006/main">
          <x14:cfRule type="dataBar" id="{1C3BD24B-A9DF-4F4B-9ACB-34EDCCCB111D}">
            <x14:dataBar minLength="0" maxLength="100" gradient="0" direction="leftToRight">
              <x14:cfvo type="num">
                <xm:f>-100</xm:f>
              </x14:cfvo>
              <x14:cfvo type="num">
                <xm:f>200</xm:f>
              </x14:cfvo>
              <x14:negativeFillColor theme="5"/>
              <x14:axisColor theme="1"/>
            </x14:dataBar>
          </x14:cfRule>
          <xm:sqref>G94</xm:sqref>
        </x14:conditionalFormatting>
        <x14:conditionalFormatting xmlns:xm="http://schemas.microsoft.com/office/excel/2006/main">
          <x14:cfRule type="dataBar" id="{C9D8B871-3B4A-4796-8F24-9D3B563E72B2}">
            <x14:dataBar minLength="0" maxLength="100" gradient="0" direction="leftToRight">
              <x14:cfvo type="num">
                <xm:f>-100</xm:f>
              </x14:cfvo>
              <x14:cfvo type="num">
                <xm:f>200</xm:f>
              </x14:cfvo>
              <x14:negativeFillColor theme="5"/>
              <x14:axisColor theme="1"/>
            </x14:dataBar>
          </x14:cfRule>
          <xm:sqref>G95:G98 G93</xm:sqref>
        </x14:conditionalFormatting>
        <x14:conditionalFormatting xmlns:xm="http://schemas.microsoft.com/office/excel/2006/main">
          <x14:cfRule type="dataBar" id="{23039739-65AC-4C35-8D28-E0751335C7E9}">
            <x14:dataBar minLength="0" maxLength="100" gradient="0" direction="leftToRight">
              <x14:cfvo type="num">
                <xm:f>-100</xm:f>
              </x14:cfvo>
              <x14:cfvo type="num">
                <xm:f>200</xm:f>
              </x14:cfvo>
              <x14:negativeFillColor theme="5"/>
              <x14:axisColor theme="1"/>
            </x14:dataBar>
          </x14:cfRule>
          <xm:sqref>G105:G108</xm:sqref>
        </x14:conditionalFormatting>
        <x14:conditionalFormatting xmlns:xm="http://schemas.microsoft.com/office/excel/2006/main">
          <x14:cfRule type="dataBar" id="{EB73FD22-ECCC-4C0D-95B9-04D381F9ECE8}">
            <x14:dataBar minLength="0" maxLength="100" gradient="0" direction="leftToRight">
              <x14:cfvo type="num">
                <xm:f>-100</xm:f>
              </x14:cfvo>
              <x14:cfvo type="num">
                <xm:f>200</xm:f>
              </x14:cfvo>
              <x14:negativeFillColor theme="5"/>
              <x14:axisColor theme="1"/>
            </x14:dataBar>
          </x14:cfRule>
          <xm:sqref>G115:G122</xm:sqref>
        </x14:conditionalFormatting>
        <x14:conditionalFormatting xmlns:xm="http://schemas.microsoft.com/office/excel/2006/main">
          <x14:cfRule type="dataBar" id="{99C21F28-876D-4004-B94B-4480032FDC2E}">
            <x14:dataBar minLength="0" maxLength="100" gradient="0" direction="leftToRight">
              <x14:cfvo type="num">
                <xm:f>-100</xm:f>
              </x14:cfvo>
              <x14:cfvo type="num">
                <xm:f>200</xm:f>
              </x14:cfvo>
              <x14:negativeFillColor theme="5"/>
              <x14:axisColor theme="1"/>
            </x14:dataBar>
          </x14:cfRule>
          <xm:sqref>G131:G132</xm:sqref>
        </x14:conditionalFormatting>
        <x14:conditionalFormatting xmlns:xm="http://schemas.microsoft.com/office/excel/2006/main">
          <x14:cfRule type="dataBar" id="{BF6196E8-5391-4567-8C3B-8EFC6C1A8CC8}">
            <x14:dataBar minLength="0" maxLength="100" gradient="0" direction="leftToRight">
              <x14:cfvo type="num">
                <xm:f>-100</xm:f>
              </x14:cfvo>
              <x14:cfvo type="num">
                <xm:f>200</xm:f>
              </x14:cfvo>
              <x14:negativeFillColor theme="5"/>
              <x14:axisColor theme="1"/>
            </x14:dataBar>
          </x14:cfRule>
          <xm:sqref>G146:G150</xm:sqref>
        </x14:conditionalFormatting>
        <x14:conditionalFormatting xmlns:xm="http://schemas.microsoft.com/office/excel/2006/main">
          <x14:cfRule type="dataBar" id="{B3D23395-1D2B-4681-B116-3AA656FED9AC}">
            <x14:dataBar minLength="0" maxLength="100" gradient="0" direction="leftToRight">
              <x14:cfvo type="num">
                <xm:f>-100</xm:f>
              </x14:cfvo>
              <x14:cfvo type="num">
                <xm:f>200</xm:f>
              </x14:cfvo>
              <x14:negativeFillColor theme="5"/>
              <x14:axisColor theme="1"/>
            </x14:dataBar>
          </x14:cfRule>
          <xm:sqref>G156:G187</xm:sqref>
        </x14:conditionalFormatting>
        <x14:conditionalFormatting xmlns:xm="http://schemas.microsoft.com/office/excel/2006/main">
          <x14:cfRule type="dataBar" id="{36A879CF-4527-43CB-9709-71223C134967}">
            <x14:dataBar minLength="0" maxLength="100" gradient="0" direction="leftToRight">
              <x14:cfvo type="num">
                <xm:f>-100</xm:f>
              </x14:cfvo>
              <x14:cfvo type="num">
                <xm:f>200</xm:f>
              </x14:cfvo>
              <x14:negativeFillColor theme="5"/>
              <x14:axisColor theme="1"/>
            </x14:dataBar>
          </x14:cfRule>
          <xm:sqref>G193:G197</xm:sqref>
        </x14:conditionalFormatting>
        <x14:conditionalFormatting xmlns:xm="http://schemas.microsoft.com/office/excel/2006/main">
          <x14:cfRule type="dataBar" id="{7C2577E2-68C8-4F73-9367-B17E09FF689B}">
            <x14:dataBar minLength="0" maxLength="100" gradient="0" direction="leftToRight">
              <x14:cfvo type="num">
                <xm:f>-100</xm:f>
              </x14:cfvo>
              <x14:cfvo type="num">
                <xm:f>200</xm:f>
              </x14:cfvo>
              <x14:negativeFillColor theme="5"/>
              <x14:axisColor theme="1"/>
            </x14:dataBar>
          </x14:cfRule>
          <xm:sqref>G203:G206</xm:sqref>
        </x14:conditionalFormatting>
        <x14:conditionalFormatting xmlns:xm="http://schemas.microsoft.com/office/excel/2006/main">
          <x14:cfRule type="dataBar" id="{7FC22331-0B26-4205-92FB-F0B61382F7FB}">
            <x14:dataBar minLength="0" maxLength="100" gradient="0" direction="leftToRight">
              <x14:cfvo type="num">
                <xm:f>-100</xm:f>
              </x14:cfvo>
              <x14:cfvo type="num">
                <xm:f>200</xm:f>
              </x14:cfvo>
              <x14:negativeFillColor theme="5"/>
              <x14:axisColor theme="1"/>
            </x14:dataBar>
          </x14:cfRule>
          <xm:sqref>G214:G218</xm:sqref>
        </x14:conditionalFormatting>
        <x14:conditionalFormatting xmlns:xm="http://schemas.microsoft.com/office/excel/2006/main">
          <x14:cfRule type="dataBar" id="{99E87D43-B8C8-44EB-8B2A-8FA0E845E592}">
            <x14:dataBar minLength="0" maxLength="100" gradient="0" direction="leftToRight">
              <x14:cfvo type="num">
                <xm:f>-100</xm:f>
              </x14:cfvo>
              <x14:cfvo type="num">
                <xm:f>200</xm:f>
              </x14:cfvo>
              <x14:negativeFillColor theme="5"/>
              <x14:axisColor theme="1"/>
            </x14:dataBar>
          </x14:cfRule>
          <xm:sqref>G224:G226</xm:sqref>
        </x14:conditionalFormatting>
        <x14:conditionalFormatting xmlns:xm="http://schemas.microsoft.com/office/excel/2006/main">
          <x14:cfRule type="dataBar" id="{8034134D-77B9-49AE-B26B-CD5BCE9C3FBC}">
            <x14:dataBar minLength="0" maxLength="100" gradient="0" direction="leftToRight">
              <x14:cfvo type="num">
                <xm:f>-100</xm:f>
              </x14:cfvo>
              <x14:cfvo type="num">
                <xm:f>200</xm:f>
              </x14:cfvo>
              <x14:negativeFillColor theme="5"/>
              <x14:axisColor theme="1"/>
            </x14:dataBar>
          </x14:cfRule>
          <xm:sqref>G232:G239</xm:sqref>
        </x14:conditionalFormatting>
        <x14:conditionalFormatting xmlns:xm="http://schemas.microsoft.com/office/excel/2006/main">
          <x14:cfRule type="dataBar" id="{C0BC2106-5C80-4C67-AAA3-60212F7726C6}">
            <x14:dataBar minLength="0" maxLength="100" gradient="0" direction="leftToRight">
              <x14:cfvo type="num">
                <xm:f>-100</xm:f>
              </x14:cfvo>
              <x14:cfvo type="num">
                <xm:f>200</xm:f>
              </x14:cfvo>
              <x14:negativeFillColor theme="5"/>
              <x14:axisColor theme="1"/>
            </x14:dataBar>
          </x14:cfRule>
          <xm:sqref>G247:G252</xm:sqref>
        </x14:conditionalFormatting>
        <x14:conditionalFormatting xmlns:xm="http://schemas.microsoft.com/office/excel/2006/main">
          <x14:cfRule type="dataBar" id="{D9544ACD-5019-4365-A321-701D7D6C5BB0}">
            <x14:dataBar minLength="0" maxLength="100" gradient="0" direction="leftToRight">
              <x14:cfvo type="num">
                <xm:f>-100</xm:f>
              </x14:cfvo>
              <x14:cfvo type="num">
                <xm:f>200</xm:f>
              </x14:cfvo>
              <x14:negativeFillColor theme="5"/>
              <x14:axisColor theme="1"/>
            </x14:dataBar>
          </x14:cfRule>
          <xm:sqref>G258:G266</xm:sqref>
        </x14:conditionalFormatting>
        <x14:conditionalFormatting xmlns:xm="http://schemas.microsoft.com/office/excel/2006/main">
          <x14:cfRule type="dataBar" id="{BCE59ACB-1FA4-42DF-820B-5E58ADD78F30}">
            <x14:dataBar minLength="0" maxLength="100" gradient="0" direction="leftToRight">
              <x14:cfvo type="num">
                <xm:f>-100</xm:f>
              </x14:cfvo>
              <x14:cfvo type="num">
                <xm:f>200</xm:f>
              </x14:cfvo>
              <x14:negativeFillColor theme="5"/>
              <x14:axisColor theme="1"/>
            </x14:dataBar>
          </x14:cfRule>
          <xm:sqref>G271:G272</xm:sqref>
        </x14:conditionalFormatting>
        <x14:conditionalFormatting xmlns:xm="http://schemas.microsoft.com/office/excel/2006/main">
          <x14:cfRule type="dataBar" id="{7DEAC626-B2B9-4872-979E-496357B3918E}">
            <x14:dataBar minLength="0" maxLength="100" gradient="0" direction="leftToRight">
              <x14:cfvo type="num">
                <xm:f>-100</xm:f>
              </x14:cfvo>
              <x14:cfvo type="num">
                <xm:f>200</xm:f>
              </x14:cfvo>
              <x14:negativeFillColor theme="5"/>
              <x14:axisColor theme="1"/>
            </x14:dataBar>
          </x14:cfRule>
          <xm:sqref>G280:G281 G277:G278 G274:G275</xm:sqref>
        </x14:conditionalFormatting>
        <x14:conditionalFormatting xmlns:xm="http://schemas.microsoft.com/office/excel/2006/main">
          <x14:cfRule type="dataBar" id="{51485168-0CFC-448A-92EB-739A4AEB31B4}">
            <x14:dataBar minLength="0" maxLength="100" gradient="0" direction="leftToRight">
              <x14:cfvo type="num">
                <xm:f>-100</xm:f>
              </x14:cfvo>
              <x14:cfvo type="num">
                <xm:f>200</xm:f>
              </x14:cfvo>
              <x14:negativeFillColor theme="5"/>
              <x14:axisColor theme="1"/>
            </x14:dataBar>
          </x14:cfRule>
          <xm:sqref>G287:G299</xm:sqref>
        </x14:conditionalFormatting>
        <x14:conditionalFormatting xmlns:xm="http://schemas.microsoft.com/office/excel/2006/main">
          <x14:cfRule type="dataBar" id="{A0DBD682-466D-4B05-8E99-9622D50952AE}">
            <x14:dataBar minLength="0" maxLength="100" gradient="0" direction="leftToRight">
              <x14:cfvo type="num">
                <xm:f>-100</xm:f>
              </x14:cfvo>
              <x14:cfvo type="num">
                <xm:f>200</xm:f>
              </x14:cfvo>
              <x14:negativeFillColor theme="5"/>
              <x14:axisColor theme="1"/>
            </x14:dataBar>
          </x14:cfRule>
          <xm:sqref>G306:G317</xm:sqref>
        </x14:conditionalFormatting>
        <x14:conditionalFormatting xmlns:xm="http://schemas.microsoft.com/office/excel/2006/main">
          <x14:cfRule type="dataBar" id="{93899D87-F16D-4237-AAF4-C9F1131DD1BC}">
            <x14:dataBar minLength="0" maxLength="100" gradient="0" direction="leftToRight">
              <x14:cfvo type="num">
                <xm:f>-100</xm:f>
              </x14:cfvo>
              <x14:cfvo type="num">
                <xm:f>200</xm:f>
              </x14:cfvo>
              <x14:negativeFillColor theme="5"/>
              <x14:axisColor theme="1"/>
            </x14:dataBar>
          </x14:cfRule>
          <xm:sqref>G322:G334</xm:sqref>
        </x14:conditionalFormatting>
        <x14:conditionalFormatting xmlns:xm="http://schemas.microsoft.com/office/excel/2006/main">
          <x14:cfRule type="dataBar" id="{C31323EC-168E-4987-8BDA-FC4E44FCAC6F}">
            <x14:dataBar minLength="0" maxLength="100" gradient="0" direction="leftToRight">
              <x14:cfvo type="num">
                <xm:f>-100</xm:f>
              </x14:cfvo>
              <x14:cfvo type="num">
                <xm:f>200</xm:f>
              </x14:cfvo>
              <x14:negativeFillColor theme="5"/>
              <x14:axisColor theme="1"/>
            </x14:dataBar>
          </x14:cfRule>
          <xm:sqref>G339:G343</xm:sqref>
        </x14:conditionalFormatting>
        <x14:conditionalFormatting xmlns:xm="http://schemas.microsoft.com/office/excel/2006/main">
          <x14:cfRule type="dataBar" id="{418A9240-5F96-4E19-ABEB-FA08D987ACF7}">
            <x14:dataBar minLength="0" maxLength="100" gradient="0" direction="leftToRight">
              <x14:cfvo type="num">
                <xm:f>-100</xm:f>
              </x14:cfvo>
              <x14:cfvo type="num">
                <xm:f>200</xm:f>
              </x14:cfvo>
              <x14:negativeFillColor theme="5"/>
              <x14:axisColor theme="1"/>
            </x14:dataBar>
          </x14:cfRule>
          <xm:sqref>G349:G369</xm:sqref>
        </x14:conditionalFormatting>
        <x14:conditionalFormatting xmlns:xm="http://schemas.microsoft.com/office/excel/2006/main">
          <x14:cfRule type="dataBar" id="{37A5BE74-DDD6-4040-B207-31353B453358}">
            <x14:dataBar minLength="0" maxLength="100" gradient="0" direction="leftToRight">
              <x14:cfvo type="num">
                <xm:f>-100</xm:f>
              </x14:cfvo>
              <x14:cfvo type="num">
                <xm:f>200</xm:f>
              </x14:cfvo>
              <x14:negativeFillColor theme="5"/>
              <x14:axisColor theme="1"/>
            </x14:dataBar>
          </x14:cfRule>
          <xm:sqref>G374:G393</xm:sqref>
        </x14:conditionalFormatting>
        <x14:conditionalFormatting xmlns:xm="http://schemas.microsoft.com/office/excel/2006/main">
          <x14:cfRule type="dataBar" id="{05EE4EF2-67BB-4EFB-B294-67B9FA004E49}">
            <x14:dataBar minLength="0" maxLength="100" gradient="0" direction="leftToRight">
              <x14:cfvo type="num">
                <xm:f>-100</xm:f>
              </x14:cfvo>
              <x14:cfvo type="num">
                <xm:f>200</xm:f>
              </x14:cfvo>
              <x14:negativeFillColor theme="5"/>
              <x14:axisColor theme="1"/>
            </x14:dataBar>
          </x14:cfRule>
          <xm:sqref>G404:G408</xm:sqref>
        </x14:conditionalFormatting>
        <x14:conditionalFormatting xmlns:xm="http://schemas.microsoft.com/office/excel/2006/main">
          <x14:cfRule type="dataBar" id="{5DD03060-B455-4C71-8A1C-4006E45145FD}">
            <x14:dataBar minLength="0" maxLength="100" gradient="0" direction="leftToRight">
              <x14:cfvo type="num">
                <xm:f>-100</xm:f>
              </x14:cfvo>
              <x14:cfvo type="num">
                <xm:f>200</xm:f>
              </x14:cfvo>
              <x14:negativeFillColor theme="5"/>
              <x14:axisColor theme="1"/>
            </x14:dataBar>
          </x14:cfRule>
          <xm:sqref>G415:G421</xm:sqref>
        </x14:conditionalFormatting>
        <x14:conditionalFormatting xmlns:xm="http://schemas.microsoft.com/office/excel/2006/main">
          <x14:cfRule type="dataBar" id="{88FAFEB7-1080-465A-AF4D-7BE4F2A1EB71}">
            <x14:dataBar minLength="0" maxLength="100" gradient="0" direction="leftToRight">
              <x14:cfvo type="num">
                <xm:f>-100</xm:f>
              </x14:cfvo>
              <x14:cfvo type="num">
                <xm:f>200</xm:f>
              </x14:cfvo>
              <x14:negativeFillColor theme="5"/>
              <x14:axisColor theme="1"/>
            </x14:dataBar>
          </x14:cfRule>
          <xm:sqref>G429:G436</xm:sqref>
        </x14:conditionalFormatting>
        <x14:conditionalFormatting xmlns:xm="http://schemas.microsoft.com/office/excel/2006/main">
          <x14:cfRule type="dataBar" id="{A3C87A8F-1EED-4B68-B696-9EE20B111C3A}">
            <x14:dataBar minLength="0" maxLength="100" gradient="0" direction="leftToRight">
              <x14:cfvo type="num">
                <xm:f>-100</xm:f>
              </x14:cfvo>
              <x14:cfvo type="num">
                <xm:f>200</xm:f>
              </x14:cfvo>
              <x14:negativeFillColor theme="5"/>
              <x14:axisColor theme="1"/>
            </x14:dataBar>
          </x14:cfRule>
          <xm:sqref>G442:G450</xm:sqref>
        </x14:conditionalFormatting>
        <x14:conditionalFormatting xmlns:xm="http://schemas.microsoft.com/office/excel/2006/main">
          <x14:cfRule type="dataBar" id="{2017002F-80C0-4E3F-9D6E-E221CC27AD9F}">
            <x14:dataBar minLength="0" maxLength="100" gradient="0" direction="leftToRight">
              <x14:cfvo type="num">
                <xm:f>-100</xm:f>
              </x14:cfvo>
              <x14:cfvo type="num">
                <xm:f>200</xm:f>
              </x14:cfvo>
              <x14:negativeFillColor theme="5"/>
              <x14:axisColor theme="1"/>
            </x14:dataBar>
          </x14:cfRule>
          <xm:sqref>G456:G464</xm:sqref>
        </x14:conditionalFormatting>
        <x14:conditionalFormatting xmlns:xm="http://schemas.microsoft.com/office/excel/2006/main">
          <x14:cfRule type="dataBar" id="{948472AB-20EA-4B68-BDAD-066371E0B4F5}">
            <x14:dataBar minLength="0" maxLength="100" gradient="0" direction="leftToRight">
              <x14:cfvo type="num">
                <xm:f>-100</xm:f>
              </x14:cfvo>
              <x14:cfvo type="num">
                <xm:f>200</xm:f>
              </x14:cfvo>
              <x14:negativeFillColor theme="5"/>
              <x14:axisColor theme="1"/>
            </x14:dataBar>
          </x14:cfRule>
          <xm:sqref>G469:G473</xm:sqref>
        </x14:conditionalFormatting>
        <x14:conditionalFormatting xmlns:xm="http://schemas.microsoft.com/office/excel/2006/main">
          <x14:cfRule type="dataBar" id="{6C2DEF9D-F769-474D-9EFA-9688BD178778}">
            <x14:dataBar minLength="0" maxLength="100" gradient="0" direction="leftToRight">
              <x14:cfvo type="num">
                <xm:f>-100</xm:f>
              </x14:cfvo>
              <x14:cfvo type="num">
                <xm:f>200</xm:f>
              </x14:cfvo>
              <x14:negativeFillColor theme="5"/>
              <x14:axisColor theme="1"/>
            </x14:dataBar>
          </x14:cfRule>
          <xm:sqref>G479:G501</xm:sqref>
        </x14:conditionalFormatting>
        <x14:conditionalFormatting xmlns:xm="http://schemas.microsoft.com/office/excel/2006/main">
          <x14:cfRule type="dataBar" id="{99848AAF-79A5-4105-8B8D-970F753CA732}">
            <x14:dataBar minLength="0" maxLength="100" gradient="0" direction="leftToRight">
              <x14:cfvo type="num">
                <xm:f>-100</xm:f>
              </x14:cfvo>
              <x14:cfvo type="num">
                <xm:f>200</xm:f>
              </x14:cfvo>
              <x14:negativeFillColor theme="5"/>
              <x14:axisColor theme="1"/>
            </x14:dataBar>
          </x14:cfRule>
          <xm:sqref>G507:G510</xm:sqref>
        </x14:conditionalFormatting>
        <x14:conditionalFormatting xmlns:xm="http://schemas.microsoft.com/office/excel/2006/main">
          <x14:cfRule type="dataBar" id="{2770BD30-BD63-4F78-ACBB-40FE4F8C3674}">
            <x14:dataBar minLength="0" maxLength="100" gradient="0" direction="leftToRight">
              <x14:cfvo type="num">
                <xm:f>-100</xm:f>
              </x14:cfvo>
              <x14:cfvo type="num">
                <xm:f>200</xm:f>
              </x14:cfvo>
              <x14:negativeFillColor theme="5"/>
              <x14:axisColor theme="1"/>
            </x14:dataBar>
          </x14:cfRule>
          <xm:sqref>G530:G531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80"/>
  <sheetViews>
    <sheetView showGridLines="0" zoomScaleNormal="100" workbookViewId="0"/>
  </sheetViews>
  <sheetFormatPr defaultColWidth="14.26953125" defaultRowHeight="13.5" x14ac:dyDescent="0.35"/>
  <cols>
    <col min="1" max="1" width="40.7265625" style="4" customWidth="1"/>
    <col min="2" max="3" width="17.7265625" style="5" customWidth="1"/>
    <col min="4" max="5" width="17.7265625" style="2" customWidth="1"/>
    <col min="6" max="7" width="14.7265625" style="2" customWidth="1"/>
    <col min="8" max="18" width="14.26953125" style="110"/>
    <col min="19" max="16384" width="14.26953125" style="2"/>
  </cols>
  <sheetData>
    <row r="1" spans="1:18" x14ac:dyDescent="0.35">
      <c r="A1" s="22" t="s">
        <v>664</v>
      </c>
    </row>
    <row r="4" spans="1:18" ht="15" customHeight="1" x14ac:dyDescent="0.35">
      <c r="A4" s="272" t="s">
        <v>612</v>
      </c>
      <c r="B4" s="272"/>
      <c r="C4" s="272"/>
      <c r="D4" s="272"/>
      <c r="E4" s="272"/>
      <c r="F4" s="272"/>
      <c r="G4" s="272"/>
    </row>
    <row r="5" spans="1:18" ht="15" customHeight="1" x14ac:dyDescent="0.35">
      <c r="A5" s="272"/>
      <c r="B5" s="272"/>
      <c r="C5" s="272"/>
      <c r="D5" s="272"/>
      <c r="E5" s="272"/>
      <c r="F5" s="272"/>
      <c r="G5" s="272"/>
    </row>
    <row r="6" spans="1:18" x14ac:dyDescent="0.35">
      <c r="A6" s="245" t="s">
        <v>867</v>
      </c>
      <c r="B6" s="246" t="s">
        <v>871</v>
      </c>
      <c r="C6" s="246"/>
      <c r="D6" s="241"/>
      <c r="E6" s="241"/>
      <c r="F6" s="241"/>
      <c r="G6" s="247"/>
      <c r="H6" s="2"/>
      <c r="I6" s="2"/>
      <c r="J6" s="2"/>
      <c r="K6" s="2"/>
      <c r="L6" s="2"/>
      <c r="M6" s="2"/>
      <c r="N6" s="2"/>
      <c r="O6" s="2"/>
      <c r="P6" s="2"/>
      <c r="Q6" s="2"/>
      <c r="R6" s="2"/>
    </row>
    <row r="7" spans="1:18" x14ac:dyDescent="0.35">
      <c r="A7" s="245" t="s">
        <v>620</v>
      </c>
      <c r="B7" s="246" t="s">
        <v>890</v>
      </c>
      <c r="C7" s="246"/>
      <c r="D7" s="241"/>
      <c r="E7" s="241"/>
      <c r="F7" s="241"/>
      <c r="G7" s="247"/>
      <c r="H7" s="2"/>
      <c r="I7" s="2"/>
      <c r="J7" s="2"/>
      <c r="K7" s="2"/>
      <c r="L7" s="2"/>
      <c r="M7" s="2"/>
      <c r="N7" s="2"/>
      <c r="O7" s="2"/>
      <c r="P7" s="2"/>
      <c r="Q7" s="2"/>
      <c r="R7" s="2"/>
    </row>
    <row r="8" spans="1:18" x14ac:dyDescent="0.35">
      <c r="A8" s="245" t="s">
        <v>621</v>
      </c>
      <c r="B8" s="246" t="s">
        <v>891</v>
      </c>
      <c r="C8" s="246"/>
      <c r="D8" s="241"/>
      <c r="E8" s="241"/>
      <c r="F8" s="241"/>
      <c r="G8" s="247"/>
      <c r="H8" s="2"/>
      <c r="I8" s="2"/>
      <c r="J8" s="2"/>
      <c r="K8" s="2"/>
      <c r="L8" s="2"/>
      <c r="M8" s="2"/>
      <c r="N8" s="2"/>
      <c r="O8" s="2"/>
      <c r="P8" s="2"/>
      <c r="Q8" s="2"/>
      <c r="R8" s="2"/>
    </row>
    <row r="9" spans="1:18" x14ac:dyDescent="0.35">
      <c r="A9" s="252"/>
      <c r="B9" s="253"/>
      <c r="C9" s="253"/>
      <c r="D9" s="242"/>
      <c r="E9" s="242"/>
      <c r="F9" s="242"/>
      <c r="G9" s="254"/>
      <c r="H9" s="2"/>
      <c r="I9" s="2"/>
      <c r="J9" s="2"/>
      <c r="K9" s="2"/>
      <c r="L9" s="2"/>
      <c r="M9" s="2"/>
      <c r="N9" s="2"/>
      <c r="O9" s="2"/>
      <c r="P9" s="2"/>
      <c r="Q9" s="2"/>
      <c r="R9" s="2"/>
    </row>
    <row r="10" spans="1:18" ht="48.75" customHeight="1" x14ac:dyDescent="0.35">
      <c r="A10" s="292" t="s">
        <v>881</v>
      </c>
      <c r="B10" s="293"/>
      <c r="C10" s="293"/>
      <c r="D10" s="293"/>
      <c r="E10" s="293"/>
      <c r="F10" s="293"/>
      <c r="G10" s="294"/>
    </row>
    <row r="11" spans="1:18" s="7" customFormat="1" ht="15" customHeight="1" x14ac:dyDescent="0.45">
      <c r="H11" s="117"/>
      <c r="I11" s="117"/>
      <c r="J11" s="117"/>
      <c r="K11" s="117"/>
      <c r="L11" s="117"/>
      <c r="M11" s="117"/>
      <c r="N11" s="117"/>
      <c r="O11" s="117"/>
      <c r="P11" s="117"/>
      <c r="Q11" s="117"/>
      <c r="R11" s="117"/>
    </row>
    <row r="12" spans="1:18" s="8" customFormat="1" ht="15" customHeight="1" x14ac:dyDescent="0.35">
      <c r="A12" s="295" t="s">
        <v>607</v>
      </c>
      <c r="B12" s="295">
        <v>3.6836000000000002</v>
      </c>
      <c r="C12" s="295"/>
      <c r="D12" s="295">
        <v>3.4474999999999998</v>
      </c>
      <c r="E12" s="295"/>
      <c r="F12" s="295">
        <v>106.848</v>
      </c>
      <c r="H12" s="111"/>
      <c r="I12" s="111"/>
      <c r="J12" s="111"/>
      <c r="K12" s="111"/>
      <c r="L12" s="111"/>
      <c r="M12" s="111"/>
      <c r="N12" s="111"/>
      <c r="O12" s="111"/>
      <c r="P12" s="111"/>
      <c r="Q12" s="111"/>
      <c r="R12" s="111"/>
    </row>
    <row r="13" spans="1:18" s="8" customFormat="1" ht="15" customHeight="1" x14ac:dyDescent="0.35">
      <c r="A13" s="9" t="s">
        <v>134</v>
      </c>
      <c r="B13" s="9"/>
      <c r="C13" s="9"/>
      <c r="D13" s="9"/>
      <c r="E13" s="9"/>
      <c r="F13" s="9"/>
      <c r="H13" s="111"/>
      <c r="I13" s="111"/>
      <c r="J13" s="111"/>
      <c r="K13" s="111"/>
      <c r="L13" s="111"/>
      <c r="M13" s="111"/>
      <c r="N13" s="111"/>
      <c r="O13" s="111"/>
      <c r="P13" s="111"/>
      <c r="Q13" s="111"/>
      <c r="R13" s="111"/>
    </row>
    <row r="14" spans="1:18" ht="40" customHeight="1" x14ac:dyDescent="0.35">
      <c r="A14" s="251" t="s">
        <v>77</v>
      </c>
      <c r="B14" s="227" t="s">
        <v>890</v>
      </c>
      <c r="C14" s="243" t="s">
        <v>890</v>
      </c>
      <c r="D14" s="227" t="s">
        <v>891</v>
      </c>
      <c r="E14" s="228" t="s">
        <v>891</v>
      </c>
      <c r="F14" s="235" t="s">
        <v>1</v>
      </c>
      <c r="G14" s="236" t="s">
        <v>1</v>
      </c>
    </row>
    <row r="15" spans="1:18" ht="14.5" x14ac:dyDescent="0.35">
      <c r="A15" s="239" t="s">
        <v>866</v>
      </c>
      <c r="B15" s="35" t="s">
        <v>73</v>
      </c>
      <c r="C15" s="36" t="s">
        <v>74</v>
      </c>
      <c r="D15" s="34" t="s">
        <v>73</v>
      </c>
      <c r="E15" s="36" t="s">
        <v>74</v>
      </c>
      <c r="F15" s="237" t="s">
        <v>864</v>
      </c>
      <c r="G15" s="238" t="s">
        <v>865</v>
      </c>
      <c r="I15" s="116"/>
    </row>
    <row r="16" spans="1:18" x14ac:dyDescent="0.35">
      <c r="A16" s="39" t="s">
        <v>78</v>
      </c>
      <c r="B16" s="32">
        <v>68970</v>
      </c>
      <c r="C16" s="29">
        <v>0.3562794445821969</v>
      </c>
      <c r="D16" s="28">
        <v>308137</v>
      </c>
      <c r="E16" s="29">
        <v>0.29251216993096746</v>
      </c>
      <c r="F16" s="49">
        <v>121.79987064000737</v>
      </c>
      <c r="G16" s="45">
        <v>21.79987064000737</v>
      </c>
    </row>
    <row r="17" spans="1:9" x14ac:dyDescent="0.35">
      <c r="A17" s="39" t="s">
        <v>79</v>
      </c>
      <c r="B17" s="32">
        <v>6060</v>
      </c>
      <c r="C17" s="30">
        <v>3.1304240019836352E-2</v>
      </c>
      <c r="D17" s="28">
        <v>22874</v>
      </c>
      <c r="E17" s="30">
        <v>2.1714118638790372E-2</v>
      </c>
      <c r="F17" s="49">
        <v>144.1653724960039</v>
      </c>
      <c r="G17" s="45">
        <v>44.165372496003897</v>
      </c>
    </row>
    <row r="18" spans="1:9" x14ac:dyDescent="0.35">
      <c r="A18" s="39" t="s">
        <v>80</v>
      </c>
      <c r="B18" s="32">
        <v>36814</v>
      </c>
      <c r="C18" s="30">
        <v>0.19017067526241838</v>
      </c>
      <c r="D18" s="28">
        <v>151470</v>
      </c>
      <c r="E18" s="30">
        <v>0.14378934817773795</v>
      </c>
      <c r="F18" s="49">
        <v>132.25644157406464</v>
      </c>
      <c r="G18" s="45">
        <v>32.256441574064638</v>
      </c>
    </row>
    <row r="19" spans="1:9" x14ac:dyDescent="0.35">
      <c r="A19" s="39" t="s">
        <v>81</v>
      </c>
      <c r="B19" s="32">
        <v>29571</v>
      </c>
      <c r="C19" s="30">
        <v>0.15275539300768659</v>
      </c>
      <c r="D19" s="28">
        <v>125743</v>
      </c>
      <c r="E19" s="30">
        <v>0.11936689778776856</v>
      </c>
      <c r="F19" s="49">
        <v>127.97131854702461</v>
      </c>
      <c r="G19" s="45">
        <v>27.971318547024609</v>
      </c>
    </row>
    <row r="20" spans="1:9" x14ac:dyDescent="0.35">
      <c r="A20" s="39" t="s">
        <v>82</v>
      </c>
      <c r="B20" s="32">
        <v>59606</v>
      </c>
      <c r="C20" s="29">
        <v>0.30790767832052235</v>
      </c>
      <c r="D20" s="28">
        <v>283480</v>
      </c>
      <c r="E20" s="29">
        <v>0.2691054626092636</v>
      </c>
      <c r="F20" s="49">
        <v>114.41896248966113</v>
      </c>
      <c r="G20" s="45">
        <v>14.418962489661126</v>
      </c>
    </row>
    <row r="21" spans="1:9" x14ac:dyDescent="0.35">
      <c r="A21" s="39" t="s">
        <v>83</v>
      </c>
      <c r="B21" s="32">
        <v>26380</v>
      </c>
      <c r="C21" s="30">
        <v>0.13627159269361105</v>
      </c>
      <c r="D21" s="28">
        <v>109388</v>
      </c>
      <c r="E21" s="30">
        <v>0.10384121752470059</v>
      </c>
      <c r="F21" s="49">
        <v>131.23073471398416</v>
      </c>
      <c r="G21" s="45">
        <v>31.230734713984162</v>
      </c>
    </row>
    <row r="22" spans="1:9" x14ac:dyDescent="0.35">
      <c r="A22" s="39" t="s">
        <v>84</v>
      </c>
      <c r="B22" s="32">
        <v>27774</v>
      </c>
      <c r="C22" s="30">
        <v>0.14347260104140838</v>
      </c>
      <c r="D22" s="28">
        <v>110481</v>
      </c>
      <c r="E22" s="30">
        <v>0.10487879432247089</v>
      </c>
      <c r="F22" s="49">
        <v>136.79848435354157</v>
      </c>
      <c r="G22" s="45">
        <v>36.798484353541568</v>
      </c>
    </row>
    <row r="23" spans="1:9" x14ac:dyDescent="0.35">
      <c r="A23" s="39" t="s">
        <v>412</v>
      </c>
      <c r="B23" s="32">
        <v>64175</v>
      </c>
      <c r="C23" s="30">
        <v>0.33150983552359697</v>
      </c>
      <c r="D23" s="28">
        <v>318732</v>
      </c>
      <c r="E23" s="30">
        <v>0.30256992489197049</v>
      </c>
      <c r="F23" s="49">
        <v>109.56470166093315</v>
      </c>
      <c r="G23" s="45">
        <v>9.564701660933153</v>
      </c>
    </row>
    <row r="24" spans="1:9" x14ac:dyDescent="0.35">
      <c r="A24" s="39" t="s">
        <v>85</v>
      </c>
      <c r="B24" s="32">
        <v>28320</v>
      </c>
      <c r="C24" s="30">
        <v>0.14629308207289859</v>
      </c>
      <c r="D24" s="28">
        <v>113277</v>
      </c>
      <c r="E24" s="30">
        <v>0.10753301639618157</v>
      </c>
      <c r="F24" s="49">
        <v>136.04480463368958</v>
      </c>
      <c r="G24" s="45">
        <v>36.04480463368958</v>
      </c>
    </row>
    <row r="25" spans="1:9" x14ac:dyDescent="0.35">
      <c r="A25" s="39" t="s">
        <v>86</v>
      </c>
      <c r="B25" s="32">
        <v>65150</v>
      </c>
      <c r="C25" s="29">
        <v>0.33654640879411524</v>
      </c>
      <c r="D25" s="28">
        <v>308159</v>
      </c>
      <c r="E25" s="29">
        <v>0.29253305436788507</v>
      </c>
      <c r="F25" s="49">
        <v>115.04560040961375</v>
      </c>
      <c r="G25" s="45">
        <v>15.045600409613755</v>
      </c>
    </row>
    <row r="26" spans="1:9" x14ac:dyDescent="0.35">
      <c r="A26" s="39" t="s">
        <v>87</v>
      </c>
      <c r="B26" s="32">
        <v>88184</v>
      </c>
      <c r="C26" s="30">
        <v>0.45553351516654267</v>
      </c>
      <c r="D26" s="28">
        <v>436702</v>
      </c>
      <c r="E26" s="30">
        <v>0.41455797139971295</v>
      </c>
      <c r="F26" s="49">
        <v>109.88415290350828</v>
      </c>
      <c r="G26" s="45">
        <v>9.88415290350828</v>
      </c>
    </row>
    <row r="27" spans="1:9" x14ac:dyDescent="0.35">
      <c r="A27" s="39" t="s">
        <v>88</v>
      </c>
      <c r="B27" s="32">
        <v>83462</v>
      </c>
      <c r="C27" s="30">
        <v>0.43114100338870981</v>
      </c>
      <c r="D27" s="28">
        <v>421067</v>
      </c>
      <c r="E27" s="30">
        <v>0.39971578179940309</v>
      </c>
      <c r="F27" s="49">
        <v>107.86189162905693</v>
      </c>
      <c r="G27" s="45">
        <v>7.8618916290569274</v>
      </c>
      <c r="I27" s="128"/>
    </row>
    <row r="28" spans="1:9" ht="14.5" x14ac:dyDescent="0.35">
      <c r="A28" s="40" t="s">
        <v>89</v>
      </c>
      <c r="B28" s="32">
        <v>11351</v>
      </c>
      <c r="C28" s="30">
        <v>5.8636044301181918E-2</v>
      </c>
      <c r="D28" s="28">
        <v>41908</v>
      </c>
      <c r="E28" s="30">
        <v>3.9782953742870809E-2</v>
      </c>
      <c r="F28" s="49">
        <v>147.38987125029556</v>
      </c>
      <c r="G28" s="45">
        <v>47.389871250295556</v>
      </c>
      <c r="I28" s="118"/>
    </row>
    <row r="29" spans="1:9" ht="14.5" x14ac:dyDescent="0.35">
      <c r="A29" s="62" t="s">
        <v>884</v>
      </c>
      <c r="B29" s="226">
        <v>193584</v>
      </c>
      <c r="C29" s="225"/>
      <c r="D29" s="224">
        <v>1053416</v>
      </c>
      <c r="E29" s="225"/>
      <c r="F29" s="58"/>
      <c r="G29" s="46"/>
      <c r="I29" s="118"/>
    </row>
    <row r="31" spans="1:9" ht="15" customHeight="1" x14ac:dyDescent="0.35">
      <c r="A31" s="11" t="s">
        <v>562</v>
      </c>
      <c r="B31" s="9"/>
      <c r="C31" s="9"/>
      <c r="D31" s="9"/>
      <c r="E31" s="9"/>
      <c r="F31" s="9"/>
    </row>
    <row r="32" spans="1:9" ht="40" customHeight="1" x14ac:dyDescent="0.35">
      <c r="A32" s="251" t="s">
        <v>90</v>
      </c>
      <c r="B32" s="227" t="s">
        <v>890</v>
      </c>
      <c r="C32" s="243" t="s">
        <v>890</v>
      </c>
      <c r="D32" s="227" t="s">
        <v>891</v>
      </c>
      <c r="E32" s="228" t="s">
        <v>891</v>
      </c>
      <c r="F32" s="235" t="s">
        <v>1</v>
      </c>
      <c r="G32" s="236" t="s">
        <v>1</v>
      </c>
      <c r="I32" s="118"/>
    </row>
    <row r="33" spans="1:18" ht="14.5" x14ac:dyDescent="0.35">
      <c r="A33" s="239" t="s">
        <v>866</v>
      </c>
      <c r="B33" s="35" t="s">
        <v>73</v>
      </c>
      <c r="C33" s="36" t="s">
        <v>74</v>
      </c>
      <c r="D33" s="34" t="s">
        <v>73</v>
      </c>
      <c r="E33" s="36" t="s">
        <v>74</v>
      </c>
      <c r="F33" s="237" t="s">
        <v>864</v>
      </c>
      <c r="G33" s="238" t="s">
        <v>865</v>
      </c>
      <c r="H33" s="115"/>
      <c r="I33" s="118"/>
    </row>
    <row r="34" spans="1:18" ht="14.5" x14ac:dyDescent="0.35">
      <c r="A34" s="119" t="s">
        <v>406</v>
      </c>
      <c r="B34" s="120">
        <v>52370</v>
      </c>
      <c r="C34" s="149">
        <v>0.27052855607901477</v>
      </c>
      <c r="D34" s="120">
        <v>230614</v>
      </c>
      <c r="E34" s="149">
        <v>0.21892016069624914</v>
      </c>
      <c r="F34" s="49">
        <v>123.57407157871224</v>
      </c>
      <c r="G34" s="45">
        <v>23.574071578712235</v>
      </c>
      <c r="H34" s="115"/>
      <c r="I34" s="118"/>
    </row>
    <row r="35" spans="1:18" ht="14.5" x14ac:dyDescent="0.35">
      <c r="A35" s="39" t="s">
        <v>404</v>
      </c>
      <c r="B35" s="120">
        <v>12495</v>
      </c>
      <c r="C35" s="149">
        <v>6.4545623605256633E-2</v>
      </c>
      <c r="D35" s="120">
        <v>59235</v>
      </c>
      <c r="E35" s="149">
        <v>5.6231346400662227E-2</v>
      </c>
      <c r="F35" s="49">
        <v>114.78584052630205</v>
      </c>
      <c r="G35" s="45">
        <v>14.785840526302053</v>
      </c>
      <c r="H35" s="115"/>
      <c r="I35" s="118"/>
    </row>
    <row r="36" spans="1:18" ht="14.5" x14ac:dyDescent="0.35">
      <c r="A36" s="119" t="s">
        <v>409</v>
      </c>
      <c r="B36" s="120">
        <v>50258</v>
      </c>
      <c r="C36" s="149">
        <v>0.25961856351764606</v>
      </c>
      <c r="D36" s="120">
        <v>242154</v>
      </c>
      <c r="E36" s="149">
        <v>0.22987499715212223</v>
      </c>
      <c r="F36" s="49">
        <v>112.93901761131538</v>
      </c>
      <c r="G36" s="45">
        <v>12.939017611315379</v>
      </c>
      <c r="H36" s="115"/>
      <c r="I36" s="118"/>
    </row>
    <row r="37" spans="1:18" ht="14.5" x14ac:dyDescent="0.35">
      <c r="A37" s="39" t="s">
        <v>405</v>
      </c>
      <c r="B37" s="33">
        <v>35387</v>
      </c>
      <c r="C37" s="30">
        <v>0.18279919828084965</v>
      </c>
      <c r="D37" s="33">
        <v>167502</v>
      </c>
      <c r="E37" s="30">
        <v>0.15900840693515192</v>
      </c>
      <c r="F37" s="49">
        <v>114.96197075630113</v>
      </c>
      <c r="G37" s="45">
        <v>14.961970756301127</v>
      </c>
      <c r="H37" s="115"/>
      <c r="I37" s="118"/>
    </row>
    <row r="38" spans="1:18" ht="14.5" x14ac:dyDescent="0.35">
      <c r="A38" s="119" t="s">
        <v>407</v>
      </c>
      <c r="B38" s="120">
        <v>15045</v>
      </c>
      <c r="C38" s="149">
        <v>7.7718199851227368E-2</v>
      </c>
      <c r="D38" s="120">
        <v>92480</v>
      </c>
      <c r="E38" s="149">
        <v>8.7790578460930913E-2</v>
      </c>
      <c r="F38" s="49">
        <v>88.526811434343131</v>
      </c>
      <c r="G38" s="45">
        <v>-11.473188565656869</v>
      </c>
      <c r="H38" s="115"/>
      <c r="I38" s="118"/>
    </row>
    <row r="39" spans="1:18" ht="14.5" x14ac:dyDescent="0.35">
      <c r="A39" s="119" t="s">
        <v>408</v>
      </c>
      <c r="B39" s="120">
        <v>4133</v>
      </c>
      <c r="C39" s="149">
        <v>2.1349904950822382E-2</v>
      </c>
      <c r="D39" s="120">
        <v>28203</v>
      </c>
      <c r="E39" s="149">
        <v>2.6772898835787571E-2</v>
      </c>
      <c r="F39" s="49">
        <v>79.744465034483952</v>
      </c>
      <c r="G39" s="45">
        <v>-20.255534965516048</v>
      </c>
      <c r="H39" s="115"/>
      <c r="I39" s="118"/>
    </row>
    <row r="40" spans="1:18" ht="14.5" x14ac:dyDescent="0.35">
      <c r="A40" s="119" t="s">
        <v>410</v>
      </c>
      <c r="B40" s="120">
        <v>31427</v>
      </c>
      <c r="C40" s="149">
        <v>0.16234296222828332</v>
      </c>
      <c r="D40" s="120">
        <v>164720</v>
      </c>
      <c r="E40" s="149">
        <v>0.15636747495766154</v>
      </c>
      <c r="F40" s="49">
        <v>103.82143874372834</v>
      </c>
      <c r="G40" s="45">
        <v>3.8214387437283364</v>
      </c>
      <c r="H40" s="115"/>
      <c r="I40" s="118"/>
    </row>
    <row r="41" spans="1:18" ht="14.5" x14ac:dyDescent="0.35">
      <c r="A41" s="119" t="s">
        <v>411</v>
      </c>
      <c r="B41" s="120">
        <v>29497</v>
      </c>
      <c r="C41" s="149">
        <v>0.15237313001074468</v>
      </c>
      <c r="D41" s="120">
        <v>160729</v>
      </c>
      <c r="E41" s="149">
        <v>0.15257884824228984</v>
      </c>
      <c r="F41" s="49">
        <v>99.865172509876004</v>
      </c>
      <c r="G41" s="45">
        <v>-0.13482749012399609</v>
      </c>
      <c r="H41" s="115"/>
      <c r="I41" s="118"/>
    </row>
    <row r="42" spans="1:18" ht="14.5" x14ac:dyDescent="0.35">
      <c r="A42" s="62" t="s">
        <v>884</v>
      </c>
      <c r="B42" s="226">
        <v>193584</v>
      </c>
      <c r="C42" s="225"/>
      <c r="D42" s="226">
        <v>1053416</v>
      </c>
      <c r="E42" s="225"/>
      <c r="F42" s="58"/>
      <c r="G42" s="46"/>
      <c r="H42" s="115"/>
      <c r="I42" s="118"/>
    </row>
    <row r="43" spans="1:18" s="7" customFormat="1" ht="15" customHeight="1" x14ac:dyDescent="0.45">
      <c r="A43" s="6"/>
      <c r="B43" s="6"/>
      <c r="C43" s="6"/>
      <c r="D43" s="6"/>
      <c r="E43" s="6"/>
      <c r="F43" s="6"/>
      <c r="H43" s="115"/>
      <c r="I43" s="118"/>
      <c r="J43" s="117"/>
      <c r="K43" s="117"/>
      <c r="L43" s="117"/>
      <c r="M43" s="117"/>
      <c r="N43" s="117"/>
      <c r="O43" s="117"/>
      <c r="P43" s="117"/>
      <c r="Q43" s="117"/>
      <c r="R43" s="117"/>
    </row>
    <row r="44" spans="1:18" ht="15" customHeight="1" x14ac:dyDescent="0.35">
      <c r="A44" s="11" t="s">
        <v>91</v>
      </c>
      <c r="B44" s="9"/>
      <c r="C44" s="9"/>
      <c r="D44" s="9"/>
      <c r="E44" s="9"/>
      <c r="F44" s="9"/>
      <c r="H44" s="115"/>
      <c r="I44" s="118"/>
    </row>
    <row r="45" spans="1:18" ht="40" customHeight="1" x14ac:dyDescent="0.35">
      <c r="A45" s="251" t="s">
        <v>91</v>
      </c>
      <c r="B45" s="227" t="s">
        <v>890</v>
      </c>
      <c r="C45" s="243" t="s">
        <v>890</v>
      </c>
      <c r="D45" s="227" t="s">
        <v>891</v>
      </c>
      <c r="E45" s="228" t="s">
        <v>891</v>
      </c>
      <c r="F45" s="235" t="s">
        <v>1</v>
      </c>
      <c r="G45" s="236" t="s">
        <v>1</v>
      </c>
    </row>
    <row r="46" spans="1:18" x14ac:dyDescent="0.35">
      <c r="A46" s="239" t="s">
        <v>866</v>
      </c>
      <c r="B46" s="35" t="s">
        <v>73</v>
      </c>
      <c r="C46" s="36" t="s">
        <v>74</v>
      </c>
      <c r="D46" s="34" t="s">
        <v>73</v>
      </c>
      <c r="E46" s="36" t="s">
        <v>74</v>
      </c>
      <c r="F46" s="237" t="s">
        <v>864</v>
      </c>
      <c r="G46" s="238" t="s">
        <v>865</v>
      </c>
    </row>
    <row r="47" spans="1:18" x14ac:dyDescent="0.35">
      <c r="A47" s="39" t="s">
        <v>92</v>
      </c>
      <c r="B47" s="32">
        <v>153801</v>
      </c>
      <c r="C47" s="29">
        <v>0.7944923134143318</v>
      </c>
      <c r="D47" s="28">
        <v>789785</v>
      </c>
      <c r="E47" s="29">
        <v>0.74973704595335555</v>
      </c>
      <c r="F47" s="49">
        <v>105.9694619203545</v>
      </c>
      <c r="G47" s="45">
        <v>5.9694619203545045</v>
      </c>
    </row>
    <row r="48" spans="1:18" x14ac:dyDescent="0.35">
      <c r="A48" s="39" t="s">
        <v>93</v>
      </c>
      <c r="B48" s="32">
        <v>25706</v>
      </c>
      <c r="C48" s="30">
        <v>0.13278989999173485</v>
      </c>
      <c r="D48" s="28">
        <v>122032</v>
      </c>
      <c r="E48" s="30">
        <v>0.11584407299680279</v>
      </c>
      <c r="F48" s="49">
        <v>114.62813466114901</v>
      </c>
      <c r="G48" s="45">
        <v>14.628134661149005</v>
      </c>
    </row>
    <row r="49" spans="1:7" x14ac:dyDescent="0.35">
      <c r="A49" s="39" t="s">
        <v>94</v>
      </c>
      <c r="B49" s="32">
        <v>35583</v>
      </c>
      <c r="C49" s="30">
        <v>0.18381167865112819</v>
      </c>
      <c r="D49" s="28">
        <v>144431</v>
      </c>
      <c r="E49" s="30">
        <v>0.13710727765669023</v>
      </c>
      <c r="F49" s="49">
        <v>134.06412977681859</v>
      </c>
      <c r="G49" s="45">
        <v>34.064129776818589</v>
      </c>
    </row>
    <row r="50" spans="1:7" x14ac:dyDescent="0.35">
      <c r="A50" s="40" t="s">
        <v>95</v>
      </c>
      <c r="B50" s="32">
        <v>39783</v>
      </c>
      <c r="C50" s="31">
        <v>0.20550768658566823</v>
      </c>
      <c r="D50" s="28">
        <v>263631</v>
      </c>
      <c r="E50" s="31">
        <v>0.25026295404664445</v>
      </c>
      <c r="F50" s="49">
        <v>82.11670295690881</v>
      </c>
      <c r="G50" s="45">
        <v>-17.88329704309119</v>
      </c>
    </row>
    <row r="51" spans="1:7" x14ac:dyDescent="0.35">
      <c r="A51" s="62" t="s">
        <v>884</v>
      </c>
      <c r="B51" s="226">
        <v>193584</v>
      </c>
      <c r="C51" s="225"/>
      <c r="D51" s="224">
        <v>1053416</v>
      </c>
      <c r="E51" s="225"/>
      <c r="F51" s="58"/>
      <c r="G51" s="46"/>
    </row>
    <row r="52" spans="1:7" x14ac:dyDescent="0.35">
      <c r="A52" s="59"/>
      <c r="B52" s="60"/>
      <c r="C52" s="60"/>
      <c r="D52" s="60"/>
      <c r="E52" s="60"/>
      <c r="F52" s="61"/>
      <c r="G52" s="61"/>
    </row>
    <row r="53" spans="1:7" x14ac:dyDescent="0.35">
      <c r="A53" s="11" t="s">
        <v>529</v>
      </c>
      <c r="B53" s="9"/>
      <c r="C53" s="9"/>
      <c r="D53" s="9"/>
      <c r="E53" s="9"/>
      <c r="F53" s="9"/>
    </row>
    <row r="54" spans="1:7" ht="40" customHeight="1" x14ac:dyDescent="0.35">
      <c r="A54" s="251" t="s">
        <v>530</v>
      </c>
      <c r="B54" s="227" t="s">
        <v>890</v>
      </c>
      <c r="C54" s="243" t="s">
        <v>890</v>
      </c>
      <c r="D54" s="227" t="s">
        <v>891</v>
      </c>
      <c r="E54" s="228" t="s">
        <v>891</v>
      </c>
      <c r="F54" s="235" t="s">
        <v>1</v>
      </c>
      <c r="G54" s="236" t="s">
        <v>1</v>
      </c>
    </row>
    <row r="55" spans="1:7" x14ac:dyDescent="0.35">
      <c r="A55" s="239" t="s">
        <v>866</v>
      </c>
      <c r="B55" s="35" t="s">
        <v>73</v>
      </c>
      <c r="C55" s="36" t="s">
        <v>74</v>
      </c>
      <c r="D55" s="34" t="s">
        <v>73</v>
      </c>
      <c r="E55" s="36" t="s">
        <v>74</v>
      </c>
      <c r="F55" s="237" t="s">
        <v>864</v>
      </c>
      <c r="G55" s="238" t="s">
        <v>865</v>
      </c>
    </row>
    <row r="56" spans="1:7" x14ac:dyDescent="0.35">
      <c r="A56" s="39" t="s">
        <v>531</v>
      </c>
      <c r="B56" s="32">
        <v>19028</v>
      </c>
      <c r="C56" s="29">
        <v>9.8293247375816184E-2</v>
      </c>
      <c r="D56" s="32">
        <v>95906</v>
      </c>
      <c r="E56" s="29">
        <v>9.1042854864554934E-2</v>
      </c>
      <c r="F56" s="49">
        <v>107.96371392576354</v>
      </c>
      <c r="G56" s="45">
        <v>7.9637139257635425</v>
      </c>
    </row>
    <row r="57" spans="1:7" x14ac:dyDescent="0.35">
      <c r="A57" s="39" t="s">
        <v>532</v>
      </c>
      <c r="B57" s="65">
        <v>17619</v>
      </c>
      <c r="C57" s="30">
        <v>9.1014753285395489E-2</v>
      </c>
      <c r="D57" s="65">
        <v>78931</v>
      </c>
      <c r="E57" s="30">
        <v>7.492861319744526E-2</v>
      </c>
      <c r="F57" s="49">
        <v>121.46862113350672</v>
      </c>
      <c r="G57" s="45">
        <v>21.468621133506716</v>
      </c>
    </row>
    <row r="58" spans="1:7" x14ac:dyDescent="0.35">
      <c r="A58" s="39" t="s">
        <v>533</v>
      </c>
      <c r="B58" s="65">
        <v>122481</v>
      </c>
      <c r="C58" s="30">
        <v>0.63270208281676177</v>
      </c>
      <c r="D58" s="65">
        <v>685378</v>
      </c>
      <c r="E58" s="30">
        <v>0.65062425480531905</v>
      </c>
      <c r="F58" s="49">
        <v>97.245388278074572</v>
      </c>
      <c r="G58" s="45">
        <v>-2.7546117219254285</v>
      </c>
    </row>
    <row r="59" spans="1:7" x14ac:dyDescent="0.35">
      <c r="A59" s="39" t="s">
        <v>534</v>
      </c>
      <c r="B59" s="65">
        <v>16801</v>
      </c>
      <c r="C59" s="30">
        <v>8.6789197454335068E-2</v>
      </c>
      <c r="D59" s="65">
        <v>95947</v>
      </c>
      <c r="E59" s="30">
        <v>9.1081775860628655E-2</v>
      </c>
      <c r="F59" s="49">
        <v>95.287116038600303</v>
      </c>
      <c r="G59" s="45">
        <v>-4.7128839613996973</v>
      </c>
    </row>
    <row r="60" spans="1:7" x14ac:dyDescent="0.35">
      <c r="A60" s="39" t="s">
        <v>535</v>
      </c>
      <c r="B60" s="65">
        <v>35465</v>
      </c>
      <c r="C60" s="30">
        <v>0.18320212414249112</v>
      </c>
      <c r="D60" s="65">
        <v>213141</v>
      </c>
      <c r="E60" s="30">
        <v>0.20233317132073178</v>
      </c>
      <c r="F60" s="49">
        <v>90.544779655573748</v>
      </c>
      <c r="G60" s="45">
        <v>-9.4552203444262517</v>
      </c>
    </row>
    <row r="61" spans="1:7" x14ac:dyDescent="0.35">
      <c r="A61" s="39" t="s">
        <v>536</v>
      </c>
      <c r="B61" s="65">
        <v>38466</v>
      </c>
      <c r="C61" s="30">
        <v>0.19870443838333746</v>
      </c>
      <c r="D61" s="65">
        <v>197622</v>
      </c>
      <c r="E61" s="30">
        <v>0.18760109966053298</v>
      </c>
      <c r="F61" s="49">
        <v>105.9185893594953</v>
      </c>
      <c r="G61" s="45">
        <v>5.9185893594953001</v>
      </c>
    </row>
    <row r="62" spans="1:7" x14ac:dyDescent="0.35">
      <c r="A62" s="39" t="s">
        <v>608</v>
      </c>
      <c r="B62" s="65">
        <v>6094</v>
      </c>
      <c r="C62" s="30">
        <v>3.1479874369782626E-2</v>
      </c>
      <c r="D62" s="65">
        <v>26027</v>
      </c>
      <c r="E62" s="30">
        <v>2.4707238166118608E-2</v>
      </c>
      <c r="F62" s="49">
        <v>127.41154700549021</v>
      </c>
      <c r="G62" s="45">
        <v>27.411547005490206</v>
      </c>
    </row>
    <row r="63" spans="1:7" x14ac:dyDescent="0.35">
      <c r="A63" s="39" t="s">
        <v>537</v>
      </c>
      <c r="B63" s="65">
        <v>6438</v>
      </c>
      <c r="C63" s="30">
        <v>3.3256880733944956E-2</v>
      </c>
      <c r="D63" s="65">
        <v>24798</v>
      </c>
      <c r="E63" s="30">
        <v>2.3540557576493995E-2</v>
      </c>
      <c r="F63" s="49">
        <v>141.27482165992967</v>
      </c>
      <c r="G63" s="45">
        <v>41.274821659929671</v>
      </c>
    </row>
    <row r="64" spans="1:7" x14ac:dyDescent="0.35">
      <c r="A64" s="39" t="s">
        <v>538</v>
      </c>
      <c r="B64" s="65">
        <v>26470</v>
      </c>
      <c r="C64" s="30">
        <v>0.13673650714935118</v>
      </c>
      <c r="D64" s="65">
        <v>103327</v>
      </c>
      <c r="E64" s="30">
        <v>9.8087555153899317E-2</v>
      </c>
      <c r="F64" s="49">
        <v>139.4025031359092</v>
      </c>
      <c r="G64" s="45">
        <v>39.4025031359092</v>
      </c>
    </row>
    <row r="65" spans="1:7" x14ac:dyDescent="0.35">
      <c r="A65" s="39" t="s">
        <v>539</v>
      </c>
      <c r="B65" s="65">
        <v>30668</v>
      </c>
      <c r="C65" s="30">
        <v>0.15842218365154145</v>
      </c>
      <c r="D65" s="65">
        <v>154064</v>
      </c>
      <c r="E65" s="30">
        <v>0.14625181314884148</v>
      </c>
      <c r="F65" s="49">
        <v>108.3215176897083</v>
      </c>
      <c r="G65" s="45">
        <v>8.3215176897083012</v>
      </c>
    </row>
    <row r="66" spans="1:7" x14ac:dyDescent="0.35">
      <c r="A66" s="39" t="s">
        <v>540</v>
      </c>
      <c r="B66" s="65">
        <v>56661</v>
      </c>
      <c r="C66" s="30">
        <v>0.29269464418546987</v>
      </c>
      <c r="D66" s="65">
        <v>273127</v>
      </c>
      <c r="E66" s="30">
        <v>0.25927743645435419</v>
      </c>
      <c r="F66" s="49">
        <v>112.88859076520481</v>
      </c>
      <c r="G66" s="45">
        <v>12.88859076520481</v>
      </c>
    </row>
    <row r="67" spans="1:7" x14ac:dyDescent="0.35">
      <c r="A67" s="39" t="s">
        <v>541</v>
      </c>
      <c r="B67" s="65">
        <v>155820</v>
      </c>
      <c r="C67" s="30">
        <v>0.80492189437143569</v>
      </c>
      <c r="D67" s="65">
        <v>856494</v>
      </c>
      <c r="E67" s="30">
        <v>0.81306340515048181</v>
      </c>
      <c r="F67" s="49">
        <v>98.998662253463579</v>
      </c>
      <c r="G67" s="45">
        <v>-1.0013377465364215</v>
      </c>
    </row>
    <row r="68" spans="1:7" x14ac:dyDescent="0.35">
      <c r="A68" s="39" t="s">
        <v>542</v>
      </c>
      <c r="B68" s="65">
        <v>79645</v>
      </c>
      <c r="C68" s="30">
        <v>0.41142346474915281</v>
      </c>
      <c r="D68" s="65">
        <v>468518</v>
      </c>
      <c r="E68" s="30">
        <v>0.44476066435292422</v>
      </c>
      <c r="F68" s="49">
        <v>92.504463124617104</v>
      </c>
      <c r="G68" s="45">
        <v>-7.4955368753828964</v>
      </c>
    </row>
    <row r="69" spans="1:7" x14ac:dyDescent="0.35">
      <c r="A69" s="39" t="s">
        <v>543</v>
      </c>
      <c r="B69" s="65">
        <v>12522</v>
      </c>
      <c r="C69" s="30">
        <v>6.4685097941978673E-2</v>
      </c>
      <c r="D69" s="65">
        <v>55570</v>
      </c>
      <c r="E69" s="30">
        <v>5.2752189068705997E-2</v>
      </c>
      <c r="F69" s="49">
        <v>122.6206894613054</v>
      </c>
      <c r="G69" s="45">
        <v>22.620689461305403</v>
      </c>
    </row>
    <row r="70" spans="1:7" x14ac:dyDescent="0.35">
      <c r="A70" s="39" t="s">
        <v>544</v>
      </c>
      <c r="B70" s="65">
        <v>39581</v>
      </c>
      <c r="C70" s="30">
        <v>0.20446421191834036</v>
      </c>
      <c r="D70" s="65">
        <v>185676</v>
      </c>
      <c r="E70" s="30">
        <v>0.17626085041427128</v>
      </c>
      <c r="F70" s="49">
        <v>116.00092217743297</v>
      </c>
      <c r="G70" s="45">
        <v>16.000922177432969</v>
      </c>
    </row>
    <row r="71" spans="1:7" x14ac:dyDescent="0.35">
      <c r="A71" s="39" t="s">
        <v>545</v>
      </c>
      <c r="B71" s="65">
        <v>37661</v>
      </c>
      <c r="C71" s="30">
        <v>0.19454603686255062</v>
      </c>
      <c r="D71" s="65">
        <v>221684</v>
      </c>
      <c r="E71" s="30">
        <v>0.21044297789287422</v>
      </c>
      <c r="F71" s="49">
        <v>92.445962707096868</v>
      </c>
      <c r="G71" s="45">
        <v>-7.5540372929031321</v>
      </c>
    </row>
    <row r="72" spans="1:7" x14ac:dyDescent="0.35">
      <c r="A72" s="39" t="s">
        <v>546</v>
      </c>
      <c r="B72" s="65">
        <v>86669</v>
      </c>
      <c r="C72" s="30">
        <v>0.44770745516158361</v>
      </c>
      <c r="D72" s="65">
        <v>582619</v>
      </c>
      <c r="E72" s="30">
        <v>0.55307589784092892</v>
      </c>
      <c r="F72" s="49">
        <v>80.948646814898723</v>
      </c>
      <c r="G72" s="45">
        <v>-19.051353185101277</v>
      </c>
    </row>
    <row r="73" spans="1:7" x14ac:dyDescent="0.35">
      <c r="A73" s="39" t="s">
        <v>547</v>
      </c>
      <c r="B73" s="65">
        <v>4219</v>
      </c>
      <c r="C73" s="30">
        <v>2.1794156541862963E-2</v>
      </c>
      <c r="D73" s="65">
        <v>19987</v>
      </c>
      <c r="E73" s="30">
        <v>1.8973510939647775E-2</v>
      </c>
      <c r="F73" s="49">
        <v>114.86622908742238</v>
      </c>
      <c r="G73" s="45">
        <v>14.866229087422383</v>
      </c>
    </row>
    <row r="74" spans="1:7" x14ac:dyDescent="0.35">
      <c r="A74" s="39" t="s">
        <v>548</v>
      </c>
      <c r="B74" s="65">
        <v>18994</v>
      </c>
      <c r="C74" s="30">
        <v>9.811761302586991E-2</v>
      </c>
      <c r="D74" s="65">
        <v>90093</v>
      </c>
      <c r="E74" s="30">
        <v>8.5524617055370344E-2</v>
      </c>
      <c r="F74" s="49">
        <v>114.72441082354874</v>
      </c>
      <c r="G74" s="45">
        <v>14.724410823548737</v>
      </c>
    </row>
    <row r="75" spans="1:7" x14ac:dyDescent="0.35">
      <c r="A75" s="39" t="s">
        <v>549</v>
      </c>
      <c r="B75" s="65">
        <v>55056</v>
      </c>
      <c r="C75" s="30">
        <v>0.28440366972477066</v>
      </c>
      <c r="D75" s="65">
        <v>279195</v>
      </c>
      <c r="E75" s="30">
        <v>0.26503774387326562</v>
      </c>
      <c r="F75" s="49">
        <v>107.30685583437707</v>
      </c>
      <c r="G75" s="45">
        <v>7.3068558343770746</v>
      </c>
    </row>
    <row r="76" spans="1:7" x14ac:dyDescent="0.35">
      <c r="A76" s="39" t="s">
        <v>550</v>
      </c>
      <c r="B76" s="65">
        <v>48665</v>
      </c>
      <c r="C76" s="30">
        <v>0.25138957765104553</v>
      </c>
      <c r="D76" s="65">
        <v>252548</v>
      </c>
      <c r="E76" s="30">
        <v>0.23974194430310533</v>
      </c>
      <c r="F76" s="49">
        <v>104.85840447394308</v>
      </c>
      <c r="G76" s="45">
        <v>4.8584044739430823</v>
      </c>
    </row>
    <row r="77" spans="1:7" x14ac:dyDescent="0.35">
      <c r="A77" s="39" t="s">
        <v>609</v>
      </c>
      <c r="B77" s="65">
        <v>83445</v>
      </c>
      <c r="C77" s="30">
        <v>0.43105318621373667</v>
      </c>
      <c r="D77" s="65">
        <v>455336</v>
      </c>
      <c r="E77" s="30">
        <v>0.43224708946892776</v>
      </c>
      <c r="F77" s="49">
        <v>99.723791487721073</v>
      </c>
      <c r="G77" s="45">
        <v>-0.27620851227892729</v>
      </c>
    </row>
    <row r="78" spans="1:7" x14ac:dyDescent="0.35">
      <c r="A78" s="39" t="s">
        <v>551</v>
      </c>
      <c r="B78" s="65">
        <v>42639</v>
      </c>
      <c r="C78" s="30">
        <v>0.22026097198115546</v>
      </c>
      <c r="D78" s="65">
        <v>187530</v>
      </c>
      <c r="E78" s="30">
        <v>0.17802083887087342</v>
      </c>
      <c r="F78" s="49">
        <v>123.7276340108254</v>
      </c>
      <c r="G78" s="45">
        <v>23.727634010825398</v>
      </c>
    </row>
    <row r="79" spans="1:7" x14ac:dyDescent="0.35">
      <c r="A79" s="39" t="s">
        <v>552</v>
      </c>
      <c r="B79" s="65">
        <v>6098</v>
      </c>
      <c r="C79" s="30">
        <v>3.1500537234482186E-2</v>
      </c>
      <c r="D79" s="65">
        <v>28812</v>
      </c>
      <c r="E79" s="30">
        <v>2.7351018021370476E-2</v>
      </c>
      <c r="F79" s="49">
        <v>115.17135197625741</v>
      </c>
      <c r="G79" s="45">
        <v>15.171351976257412</v>
      </c>
    </row>
    <row r="80" spans="1:7" x14ac:dyDescent="0.35">
      <c r="A80" s="39" t="s">
        <v>553</v>
      </c>
      <c r="B80" s="65">
        <v>44698</v>
      </c>
      <c r="C80" s="30">
        <v>0.23089718158525499</v>
      </c>
      <c r="D80" s="65">
        <v>237235</v>
      </c>
      <c r="E80" s="30">
        <v>0.22520542691586229</v>
      </c>
      <c r="F80" s="49">
        <v>102.52736123962021</v>
      </c>
      <c r="G80" s="45">
        <v>2.5273612396202054</v>
      </c>
    </row>
    <row r="81" spans="1:7" x14ac:dyDescent="0.35">
      <c r="A81" s="39" t="s">
        <v>554</v>
      </c>
      <c r="B81" s="65">
        <v>47971</v>
      </c>
      <c r="C81" s="30">
        <v>0.24780457062567154</v>
      </c>
      <c r="D81" s="65">
        <v>267337</v>
      </c>
      <c r="E81" s="30">
        <v>0.25378103237467442</v>
      </c>
      <c r="F81" s="49">
        <v>97.645032139289512</v>
      </c>
      <c r="G81" s="45">
        <v>-2.354967860710488</v>
      </c>
    </row>
    <row r="82" spans="1:7" x14ac:dyDescent="0.35">
      <c r="A82" s="39" t="s">
        <v>555</v>
      </c>
      <c r="B82" s="65">
        <v>43311</v>
      </c>
      <c r="C82" s="30">
        <v>0.22373233325068187</v>
      </c>
      <c r="D82" s="65">
        <v>202696</v>
      </c>
      <c r="E82" s="30">
        <v>0.19241781024780333</v>
      </c>
      <c r="F82" s="49">
        <v>116.27423311935129</v>
      </c>
      <c r="G82" s="45">
        <v>16.274233119351294</v>
      </c>
    </row>
    <row r="83" spans="1:7" x14ac:dyDescent="0.35">
      <c r="A83" s="39" t="s">
        <v>556</v>
      </c>
      <c r="B83" s="65">
        <v>11273</v>
      </c>
      <c r="C83" s="30">
        <v>5.823311843954046E-2</v>
      </c>
      <c r="D83" s="65">
        <v>57756</v>
      </c>
      <c r="E83" s="30">
        <v>5.4827342664246603E-2</v>
      </c>
      <c r="F83" s="49">
        <v>106.21181988729649</v>
      </c>
      <c r="G83" s="45">
        <v>6.2118198872964854</v>
      </c>
    </row>
    <row r="84" spans="1:7" x14ac:dyDescent="0.35">
      <c r="A84" s="39" t="s">
        <v>557</v>
      </c>
      <c r="B84" s="65">
        <v>96169</v>
      </c>
      <c r="C84" s="30">
        <v>0.49678175882304321</v>
      </c>
      <c r="D84" s="65">
        <v>548578</v>
      </c>
      <c r="E84" s="30">
        <v>0.52076102888127762</v>
      </c>
      <c r="F84" s="49">
        <v>95.395340909102245</v>
      </c>
      <c r="G84" s="45">
        <v>-4.6046590908977549</v>
      </c>
    </row>
    <row r="85" spans="1:7" x14ac:dyDescent="0.35">
      <c r="A85" s="39" t="s">
        <v>558</v>
      </c>
      <c r="B85" s="65">
        <v>23862</v>
      </c>
      <c r="C85" s="30">
        <v>0.1232643193652368</v>
      </c>
      <c r="D85" s="65">
        <v>108119</v>
      </c>
      <c r="E85" s="30">
        <v>0.10263656523158941</v>
      </c>
      <c r="F85" s="49">
        <v>120.0978609203288</v>
      </c>
      <c r="G85" s="45">
        <v>20.097860920328799</v>
      </c>
    </row>
    <row r="86" spans="1:7" x14ac:dyDescent="0.35">
      <c r="A86" s="39" t="s">
        <v>559</v>
      </c>
      <c r="B86" s="65">
        <v>29828</v>
      </c>
      <c r="C86" s="30">
        <v>0.15408298206463344</v>
      </c>
      <c r="D86" s="65">
        <v>152646</v>
      </c>
      <c r="E86" s="30">
        <v>0.14490571626024287</v>
      </c>
      <c r="F86" s="49">
        <v>106.33326692779235</v>
      </c>
      <c r="G86" s="45">
        <v>6.3332669277923515</v>
      </c>
    </row>
    <row r="87" spans="1:7" x14ac:dyDescent="0.35">
      <c r="A87" s="39" t="s">
        <v>560</v>
      </c>
      <c r="B87" s="65">
        <v>27925</v>
      </c>
      <c r="C87" s="30">
        <v>0.14425262418381685</v>
      </c>
      <c r="D87" s="65">
        <v>144521</v>
      </c>
      <c r="E87" s="30">
        <v>0.137192713989535</v>
      </c>
      <c r="F87" s="49">
        <v>105.14598041614687</v>
      </c>
      <c r="G87" s="45">
        <v>5.1459804161468696</v>
      </c>
    </row>
    <row r="88" spans="1:7" x14ac:dyDescent="0.35">
      <c r="A88" s="39" t="s">
        <v>561</v>
      </c>
      <c r="B88" s="65">
        <v>15691</v>
      </c>
      <c r="C88" s="30">
        <v>8.1055252500206634E-2</v>
      </c>
      <c r="D88" s="65">
        <v>69842</v>
      </c>
      <c r="E88" s="30">
        <v>6.6300492872711253E-2</v>
      </c>
      <c r="F88" s="49">
        <v>122.25437396947063</v>
      </c>
      <c r="G88" s="45">
        <v>22.254373969470635</v>
      </c>
    </row>
    <row r="89" spans="1:7" x14ac:dyDescent="0.35">
      <c r="A89" s="62" t="s">
        <v>884</v>
      </c>
      <c r="B89" s="226">
        <v>193584</v>
      </c>
      <c r="C89" s="225"/>
      <c r="D89" s="226">
        <v>1053416</v>
      </c>
      <c r="E89" s="225"/>
      <c r="F89" s="58"/>
      <c r="G89" s="46"/>
    </row>
    <row r="90" spans="1:7" x14ac:dyDescent="0.35">
      <c r="A90" s="146"/>
      <c r="B90" s="147"/>
      <c r="C90" s="147"/>
      <c r="D90" s="147"/>
      <c r="E90" s="147"/>
      <c r="F90" s="148"/>
      <c r="G90" s="148"/>
    </row>
    <row r="91" spans="1:7" x14ac:dyDescent="0.35">
      <c r="A91" s="11" t="s">
        <v>563</v>
      </c>
      <c r="B91" s="9"/>
      <c r="C91" s="9"/>
      <c r="D91" s="9"/>
      <c r="E91" s="9"/>
      <c r="F91" s="9"/>
    </row>
    <row r="92" spans="1:7" ht="40" customHeight="1" x14ac:dyDescent="0.35">
      <c r="A92" s="251" t="s">
        <v>530</v>
      </c>
      <c r="B92" s="227" t="s">
        <v>890</v>
      </c>
      <c r="C92" s="243" t="s">
        <v>890</v>
      </c>
      <c r="D92" s="227" t="s">
        <v>891</v>
      </c>
      <c r="E92" s="228" t="s">
        <v>891</v>
      </c>
      <c r="F92" s="235" t="s">
        <v>1</v>
      </c>
      <c r="G92" s="236" t="s">
        <v>1</v>
      </c>
    </row>
    <row r="93" spans="1:7" x14ac:dyDescent="0.35">
      <c r="A93" s="239" t="s">
        <v>866</v>
      </c>
      <c r="B93" s="35" t="s">
        <v>73</v>
      </c>
      <c r="C93" s="36" t="s">
        <v>74</v>
      </c>
      <c r="D93" s="34" t="s">
        <v>73</v>
      </c>
      <c r="E93" s="36" t="s">
        <v>74</v>
      </c>
      <c r="F93" s="237" t="s">
        <v>864</v>
      </c>
      <c r="G93" s="238" t="s">
        <v>865</v>
      </c>
    </row>
    <row r="94" spans="1:7" x14ac:dyDescent="0.35">
      <c r="A94" s="39" t="s">
        <v>564</v>
      </c>
      <c r="B94" s="32">
        <v>2007</v>
      </c>
      <c r="C94" s="29">
        <v>1.0367592363005208E-2</v>
      </c>
      <c r="D94" s="32">
        <v>8036</v>
      </c>
      <c r="E94" s="29">
        <v>7.6285152304502689E-3</v>
      </c>
      <c r="F94" s="49">
        <v>135.9057699933735</v>
      </c>
      <c r="G94" s="45">
        <v>35.905769993373497</v>
      </c>
    </row>
    <row r="95" spans="1:7" x14ac:dyDescent="0.35">
      <c r="A95" s="39" t="s">
        <v>565</v>
      </c>
      <c r="B95" s="32">
        <v>3698</v>
      </c>
      <c r="C95" s="29">
        <v>1.910281841474502E-2</v>
      </c>
      <c r="D95" s="32">
        <v>14257</v>
      </c>
      <c r="E95" s="29">
        <v>1.3534064415197795E-2</v>
      </c>
      <c r="F95" s="49">
        <v>141.14620581599945</v>
      </c>
      <c r="G95" s="45">
        <v>41.146205815999451</v>
      </c>
    </row>
    <row r="96" spans="1:7" x14ac:dyDescent="0.35">
      <c r="A96" s="39" t="s">
        <v>566</v>
      </c>
      <c r="B96" s="32">
        <v>9716</v>
      </c>
      <c r="C96" s="29">
        <v>5.0190098355235968E-2</v>
      </c>
      <c r="D96" s="32">
        <v>38201</v>
      </c>
      <c r="E96" s="29">
        <v>3.6263926122253695E-2</v>
      </c>
      <c r="F96" s="49">
        <v>138.40227389068153</v>
      </c>
      <c r="G96" s="45">
        <v>38.402273890681528</v>
      </c>
    </row>
    <row r="97" spans="1:7" x14ac:dyDescent="0.35">
      <c r="A97" s="39" t="s">
        <v>567</v>
      </c>
      <c r="B97" s="32">
        <v>1236</v>
      </c>
      <c r="C97" s="29">
        <v>6.3848251921646421E-3</v>
      </c>
      <c r="D97" s="32">
        <v>4818</v>
      </c>
      <c r="E97" s="29">
        <v>4.5736916849563707E-3</v>
      </c>
      <c r="F97" s="49">
        <v>139.59894177312805</v>
      </c>
      <c r="G97" s="45">
        <v>39.598941773128047</v>
      </c>
    </row>
    <row r="98" spans="1:7" x14ac:dyDescent="0.35">
      <c r="A98" s="39" t="s">
        <v>568</v>
      </c>
      <c r="B98" s="32">
        <v>4776</v>
      </c>
      <c r="C98" s="29">
        <v>2.4671460451276966E-2</v>
      </c>
      <c r="D98" s="32">
        <v>16407</v>
      </c>
      <c r="E98" s="29">
        <v>1.5575043477600492E-2</v>
      </c>
      <c r="F98" s="49">
        <v>158.40379827355628</v>
      </c>
      <c r="G98" s="45">
        <v>58.403798273556276</v>
      </c>
    </row>
    <row r="99" spans="1:7" x14ac:dyDescent="0.35">
      <c r="A99" s="39" t="s">
        <v>569</v>
      </c>
      <c r="B99" s="32">
        <v>7781</v>
      </c>
      <c r="C99" s="29">
        <v>4.0194437556822879E-2</v>
      </c>
      <c r="D99" s="32">
        <v>36312</v>
      </c>
      <c r="E99" s="29">
        <v>3.4470712425100816E-2</v>
      </c>
      <c r="F99" s="49">
        <v>116.60460352874567</v>
      </c>
      <c r="G99" s="45">
        <v>16.60460352874567</v>
      </c>
    </row>
    <row r="100" spans="1:7" x14ac:dyDescent="0.35">
      <c r="A100" s="39" t="s">
        <v>570</v>
      </c>
      <c r="B100" s="32">
        <v>7092</v>
      </c>
      <c r="C100" s="29">
        <v>3.6635259112323335E-2</v>
      </c>
      <c r="D100" s="32">
        <v>29134</v>
      </c>
      <c r="E100" s="29">
        <v>2.7656690234437297E-2</v>
      </c>
      <c r="F100" s="49">
        <v>132.46436504794124</v>
      </c>
      <c r="G100" s="45">
        <v>32.464365047941243</v>
      </c>
    </row>
    <row r="101" spans="1:7" x14ac:dyDescent="0.35">
      <c r="A101" s="39" t="s">
        <v>571</v>
      </c>
      <c r="B101" s="32">
        <v>7174</v>
      </c>
      <c r="C101" s="29">
        <v>3.7058847838664352E-2</v>
      </c>
      <c r="D101" s="32">
        <v>33652</v>
      </c>
      <c r="E101" s="29">
        <v>3.1945594143244452E-2</v>
      </c>
      <c r="F101" s="49">
        <v>116.0061311506432</v>
      </c>
      <c r="G101" s="45">
        <v>16.006131150643199</v>
      </c>
    </row>
    <row r="102" spans="1:7" x14ac:dyDescent="0.35">
      <c r="A102" s="39" t="s">
        <v>572</v>
      </c>
      <c r="B102" s="32">
        <v>7217</v>
      </c>
      <c r="C102" s="29">
        <v>3.7280973634184644E-2</v>
      </c>
      <c r="D102" s="32">
        <v>28226</v>
      </c>
      <c r="E102" s="29">
        <v>2.6794732565292346E-2</v>
      </c>
      <c r="F102" s="49">
        <v>139.13545710277137</v>
      </c>
      <c r="G102" s="45">
        <v>39.135457102771369</v>
      </c>
    </row>
    <row r="103" spans="1:7" x14ac:dyDescent="0.35">
      <c r="A103" s="39" t="s">
        <v>573</v>
      </c>
      <c r="B103" s="32">
        <v>22258</v>
      </c>
      <c r="C103" s="29">
        <v>0.11497851062071246</v>
      </c>
      <c r="D103" s="32">
        <v>105364</v>
      </c>
      <c r="E103" s="29">
        <v>0.10002126415395247</v>
      </c>
      <c r="F103" s="49">
        <v>114.95406661101366</v>
      </c>
      <c r="G103" s="45">
        <v>14.954066611013658</v>
      </c>
    </row>
    <row r="104" spans="1:7" x14ac:dyDescent="0.35">
      <c r="A104" s="39" t="s">
        <v>574</v>
      </c>
      <c r="B104" s="32">
        <v>7224</v>
      </c>
      <c r="C104" s="29">
        <v>3.7317133647408879E-2</v>
      </c>
      <c r="D104" s="32">
        <v>39689</v>
      </c>
      <c r="E104" s="29">
        <v>3.7676473491953799E-2</v>
      </c>
      <c r="F104" s="49">
        <v>99.046248729670367</v>
      </c>
      <c r="G104" s="45">
        <v>-0.95375127032963292</v>
      </c>
    </row>
    <row r="105" spans="1:7" x14ac:dyDescent="0.35">
      <c r="A105" s="39" t="s">
        <v>575</v>
      </c>
      <c r="B105" s="32">
        <v>7846</v>
      </c>
      <c r="C105" s="29">
        <v>4.053020910819076E-2</v>
      </c>
      <c r="D105" s="32">
        <v>36409</v>
      </c>
      <c r="E105" s="29">
        <v>3.456279380605573E-2</v>
      </c>
      <c r="F105" s="49">
        <v>117.26543095914161</v>
      </c>
      <c r="G105" s="45">
        <v>17.265430959141611</v>
      </c>
    </row>
    <row r="106" spans="1:7" x14ac:dyDescent="0.35">
      <c r="A106" s="39" t="s">
        <v>610</v>
      </c>
      <c r="B106" s="32">
        <v>25855</v>
      </c>
      <c r="C106" s="29">
        <v>0.13355959170179355</v>
      </c>
      <c r="D106" s="32">
        <v>105525</v>
      </c>
      <c r="E106" s="29">
        <v>0.10017410026048588</v>
      </c>
      <c r="F106" s="49">
        <v>133.3274682323019</v>
      </c>
      <c r="G106" s="45">
        <v>33.327468232301896</v>
      </c>
    </row>
    <row r="107" spans="1:7" x14ac:dyDescent="0.35">
      <c r="A107" s="39" t="s">
        <v>576</v>
      </c>
      <c r="B107" s="32">
        <v>6404</v>
      </c>
      <c r="C107" s="29">
        <v>3.3081246383998675E-2</v>
      </c>
      <c r="D107" s="32">
        <v>36615</v>
      </c>
      <c r="E107" s="29">
        <v>3.4758348079011521E-2</v>
      </c>
      <c r="F107" s="49">
        <v>95.174967201546764</v>
      </c>
      <c r="G107" s="45">
        <v>-4.8250327984532362</v>
      </c>
    </row>
    <row r="108" spans="1:7" x14ac:dyDescent="0.35">
      <c r="A108" s="39" t="s">
        <v>577</v>
      </c>
      <c r="B108" s="32">
        <v>1852</v>
      </c>
      <c r="C108" s="29">
        <v>9.5669063558971815E-3</v>
      </c>
      <c r="D108" s="32">
        <v>7474</v>
      </c>
      <c r="E108" s="29">
        <v>7.0950127964640747E-3</v>
      </c>
      <c r="F108" s="49">
        <v>134.83987457591365</v>
      </c>
      <c r="G108" s="45">
        <v>34.839874575913655</v>
      </c>
    </row>
    <row r="109" spans="1:7" x14ac:dyDescent="0.35">
      <c r="A109" s="39" t="s">
        <v>578</v>
      </c>
      <c r="B109" s="32">
        <v>2291</v>
      </c>
      <c r="C109" s="29">
        <v>1.1834655756674105E-2</v>
      </c>
      <c r="D109" s="32">
        <v>9169</v>
      </c>
      <c r="E109" s="29">
        <v>8.7040637317071321E-3</v>
      </c>
      <c r="F109" s="49">
        <v>135.96701634390456</v>
      </c>
      <c r="G109" s="45">
        <v>35.967016343904561</v>
      </c>
    </row>
    <row r="110" spans="1:7" x14ac:dyDescent="0.35">
      <c r="A110" s="39" t="s">
        <v>579</v>
      </c>
      <c r="B110" s="32">
        <v>2657</v>
      </c>
      <c r="C110" s="29">
        <v>1.3725307876684023E-2</v>
      </c>
      <c r="D110" s="32">
        <v>10355</v>
      </c>
      <c r="E110" s="29">
        <v>9.8299247400836891E-3</v>
      </c>
      <c r="F110" s="49">
        <v>139.62780224263619</v>
      </c>
      <c r="G110" s="45">
        <v>39.627802242636193</v>
      </c>
    </row>
    <row r="111" spans="1:7" x14ac:dyDescent="0.35">
      <c r="A111" s="39" t="s">
        <v>580</v>
      </c>
      <c r="B111" s="32">
        <v>4371</v>
      </c>
      <c r="C111" s="29">
        <v>2.2579345400446319E-2</v>
      </c>
      <c r="D111" s="32">
        <v>18427</v>
      </c>
      <c r="E111" s="29">
        <v>1.7492614503671865E-2</v>
      </c>
      <c r="F111" s="49">
        <v>129.07930598771671</v>
      </c>
      <c r="G111" s="45">
        <v>29.079305987716708</v>
      </c>
    </row>
    <row r="112" spans="1:7" x14ac:dyDescent="0.35">
      <c r="A112" s="39" t="s">
        <v>581</v>
      </c>
      <c r="B112" s="32">
        <v>22362</v>
      </c>
      <c r="C112" s="29">
        <v>0.11551574510290107</v>
      </c>
      <c r="D112" s="32">
        <v>99375</v>
      </c>
      <c r="E112" s="29">
        <v>9.4335950849427003E-2</v>
      </c>
      <c r="F112" s="49">
        <v>122.45145574170328</v>
      </c>
      <c r="G112" s="45">
        <v>22.451455741703285</v>
      </c>
    </row>
    <row r="113" spans="1:7" x14ac:dyDescent="0.35">
      <c r="A113" s="39" t="s">
        <v>582</v>
      </c>
      <c r="B113" s="32">
        <v>2728</v>
      </c>
      <c r="C113" s="29">
        <v>1.4092073725101248E-2</v>
      </c>
      <c r="D113" s="32">
        <v>12090</v>
      </c>
      <c r="E113" s="29">
        <v>1.1476947378813308E-2</v>
      </c>
      <c r="F113" s="49">
        <v>122.78590517122628</v>
      </c>
      <c r="G113" s="45">
        <v>22.785905171226275</v>
      </c>
    </row>
    <row r="114" spans="1:7" x14ac:dyDescent="0.35">
      <c r="A114" s="39" t="s">
        <v>583</v>
      </c>
      <c r="B114" s="32">
        <v>5377</v>
      </c>
      <c r="C114" s="29">
        <v>2.7776055872386147E-2</v>
      </c>
      <c r="D114" s="32">
        <v>24941</v>
      </c>
      <c r="E114" s="29">
        <v>2.3676306416458456E-2</v>
      </c>
      <c r="F114" s="49">
        <v>117.31583205511215</v>
      </c>
      <c r="G114" s="45">
        <v>17.315832055112153</v>
      </c>
    </row>
    <row r="115" spans="1:7" x14ac:dyDescent="0.35">
      <c r="A115" s="39" t="s">
        <v>611</v>
      </c>
      <c r="B115" s="32">
        <v>5273</v>
      </c>
      <c r="C115" s="29">
        <v>2.7238821390197537E-2</v>
      </c>
      <c r="D115" s="32">
        <v>22931</v>
      </c>
      <c r="E115" s="29">
        <v>2.1768228316258725E-2</v>
      </c>
      <c r="F115" s="49">
        <v>125.13109011197213</v>
      </c>
      <c r="G115" s="45">
        <v>25.131090111972128</v>
      </c>
    </row>
    <row r="116" spans="1:7" x14ac:dyDescent="0.35">
      <c r="A116" s="39" t="s">
        <v>584</v>
      </c>
      <c r="B116" s="32">
        <v>6464</v>
      </c>
      <c r="C116" s="29">
        <v>3.3391189354492104E-2</v>
      </c>
      <c r="D116" s="32">
        <v>33227</v>
      </c>
      <c r="E116" s="29">
        <v>3.1542144793699732E-2</v>
      </c>
      <c r="F116" s="49">
        <v>105.8621396004805</v>
      </c>
      <c r="G116" s="45">
        <v>5.8621396004805035</v>
      </c>
    </row>
    <row r="117" spans="1:7" x14ac:dyDescent="0.35">
      <c r="A117" s="39" t="s">
        <v>585</v>
      </c>
      <c r="B117" s="32">
        <v>5845</v>
      </c>
      <c r="C117" s="29">
        <v>3.0193611042234895E-2</v>
      </c>
      <c r="D117" s="32">
        <v>24140</v>
      </c>
      <c r="E117" s="29">
        <v>2.2915923054140055E-2</v>
      </c>
      <c r="F117" s="49">
        <v>131.75821445595241</v>
      </c>
      <c r="G117" s="45">
        <v>31.758214455952412</v>
      </c>
    </row>
    <row r="118" spans="1:7" x14ac:dyDescent="0.35">
      <c r="A118" s="39" t="s">
        <v>586</v>
      </c>
      <c r="B118" s="32">
        <v>4694</v>
      </c>
      <c r="C118" s="29">
        <v>2.4247871724935945E-2</v>
      </c>
      <c r="D118" s="32">
        <v>22475</v>
      </c>
      <c r="E118" s="29">
        <v>2.133535089651192E-2</v>
      </c>
      <c r="F118" s="49">
        <v>113.65115034925527</v>
      </c>
      <c r="G118" s="45">
        <v>13.651150349255275</v>
      </c>
    </row>
    <row r="119" spans="1:7" x14ac:dyDescent="0.35">
      <c r="A119" s="39" t="s">
        <v>587</v>
      </c>
      <c r="B119" s="32">
        <v>18126</v>
      </c>
      <c r="C119" s="29">
        <v>9.3633771386064962E-2</v>
      </c>
      <c r="D119" s="32">
        <v>82492</v>
      </c>
      <c r="E119" s="29">
        <v>7.8309044100336428E-2</v>
      </c>
      <c r="F119" s="49">
        <v>119.5695496756328</v>
      </c>
      <c r="G119" s="45">
        <v>19.5695496756328</v>
      </c>
    </row>
    <row r="120" spans="1:7" x14ac:dyDescent="0.35">
      <c r="A120" s="39" t="s">
        <v>588</v>
      </c>
      <c r="B120" s="32">
        <v>2027</v>
      </c>
      <c r="C120" s="29">
        <v>1.0470906686503016E-2</v>
      </c>
      <c r="D120" s="32">
        <v>8943</v>
      </c>
      <c r="E120" s="29">
        <v>8.4895236070080572E-3</v>
      </c>
      <c r="F120" s="49">
        <v>123.33915507177973</v>
      </c>
      <c r="G120" s="45">
        <v>23.339155071779729</v>
      </c>
    </row>
    <row r="121" spans="1:7" x14ac:dyDescent="0.35">
      <c r="A121" s="39" t="s">
        <v>589</v>
      </c>
      <c r="B121" s="32">
        <v>1486</v>
      </c>
      <c r="C121" s="29">
        <v>7.6762542358872633E-3</v>
      </c>
      <c r="D121" s="32">
        <v>5775</v>
      </c>
      <c r="E121" s="29">
        <v>5.4821646908723622E-3</v>
      </c>
      <c r="F121" s="49">
        <v>140.02232090305483</v>
      </c>
      <c r="G121" s="45">
        <v>40.022320903054833</v>
      </c>
    </row>
    <row r="122" spans="1:7" x14ac:dyDescent="0.35">
      <c r="A122" s="39" t="s">
        <v>590</v>
      </c>
      <c r="B122" s="32">
        <v>6114</v>
      </c>
      <c r="C122" s="29">
        <v>3.1583188693280438E-2</v>
      </c>
      <c r="D122" s="32">
        <v>23055</v>
      </c>
      <c r="E122" s="29">
        <v>2.1885940597067065E-2</v>
      </c>
      <c r="F122" s="49">
        <v>144.30811667976883</v>
      </c>
      <c r="G122" s="45">
        <v>44.30811667976883</v>
      </c>
    </row>
    <row r="123" spans="1:7" x14ac:dyDescent="0.35">
      <c r="A123" s="39" t="s">
        <v>591</v>
      </c>
      <c r="B123" s="32">
        <v>9663</v>
      </c>
      <c r="C123" s="29">
        <v>4.9916315397966773E-2</v>
      </c>
      <c r="D123" s="32">
        <v>38730</v>
      </c>
      <c r="E123" s="29">
        <v>3.6766101900863477E-2</v>
      </c>
      <c r="F123" s="49">
        <v>135.767222569751</v>
      </c>
      <c r="G123" s="45">
        <v>35.767222569750999</v>
      </c>
    </row>
    <row r="124" spans="1:7" x14ac:dyDescent="0.35">
      <c r="A124" s="39" t="s">
        <v>592</v>
      </c>
      <c r="B124" s="32">
        <v>3346</v>
      </c>
      <c r="C124" s="29">
        <v>1.7284486321183568E-2</v>
      </c>
      <c r="D124" s="32">
        <v>12548</v>
      </c>
      <c r="E124" s="29">
        <v>1.1911723383734441E-2</v>
      </c>
      <c r="F124" s="49">
        <v>145.10483298147841</v>
      </c>
      <c r="G124" s="45">
        <v>45.10483298147841</v>
      </c>
    </row>
    <row r="125" spans="1:7" x14ac:dyDescent="0.35">
      <c r="A125" s="39" t="s">
        <v>593</v>
      </c>
      <c r="B125" s="32">
        <v>1908</v>
      </c>
      <c r="C125" s="29">
        <v>9.8561864616910494E-3</v>
      </c>
      <c r="D125" s="32">
        <v>7831</v>
      </c>
      <c r="E125" s="29">
        <v>7.4339102500816396E-3</v>
      </c>
      <c r="F125" s="49">
        <v>132.58414656785516</v>
      </c>
      <c r="G125" s="45">
        <v>32.584146567855157</v>
      </c>
    </row>
    <row r="126" spans="1:7" x14ac:dyDescent="0.35">
      <c r="A126" s="39" t="s">
        <v>594</v>
      </c>
      <c r="B126" s="32">
        <v>1072</v>
      </c>
      <c r="C126" s="29">
        <v>5.5376477394826016E-3</v>
      </c>
      <c r="D126" s="32">
        <v>4844</v>
      </c>
      <c r="E126" s="29">
        <v>4.5983732922226361E-3</v>
      </c>
      <c r="F126" s="49">
        <v>120.42623309526846</v>
      </c>
      <c r="G126" s="45">
        <v>20.426233095268458</v>
      </c>
    </row>
    <row r="127" spans="1:7" x14ac:dyDescent="0.35">
      <c r="A127" s="39" t="s">
        <v>595</v>
      </c>
      <c r="B127" s="32">
        <v>1553</v>
      </c>
      <c r="C127" s="29">
        <v>8.0223572196049253E-3</v>
      </c>
      <c r="D127" s="32">
        <v>5989</v>
      </c>
      <c r="E127" s="29">
        <v>5.6853133045254673E-3</v>
      </c>
      <c r="F127" s="49">
        <v>141.10668647265558</v>
      </c>
      <c r="G127" s="45">
        <v>41.106686472655582</v>
      </c>
    </row>
    <row r="128" spans="1:7" x14ac:dyDescent="0.35">
      <c r="A128" s="39" t="s">
        <v>596</v>
      </c>
      <c r="B128" s="32">
        <v>4029</v>
      </c>
      <c r="C128" s="29">
        <v>2.0812670468633773E-2</v>
      </c>
      <c r="D128" s="32">
        <v>17239</v>
      </c>
      <c r="E128" s="29">
        <v>1.6364854910120977E-2</v>
      </c>
      <c r="F128" s="49">
        <v>127.1790711432584</v>
      </c>
      <c r="G128" s="45">
        <v>27.179071143258398</v>
      </c>
    </row>
    <row r="129" spans="1:18" x14ac:dyDescent="0.35">
      <c r="A129" s="39" t="s">
        <v>597</v>
      </c>
      <c r="B129" s="32">
        <v>12117</v>
      </c>
      <c r="C129" s="29">
        <v>6.2592982891148022E-2</v>
      </c>
      <c r="D129" s="32">
        <v>62027</v>
      </c>
      <c r="E129" s="29">
        <v>5.8881771304024243E-2</v>
      </c>
      <c r="F129" s="49">
        <v>106.30281920012507</v>
      </c>
      <c r="G129" s="45">
        <v>6.3028192001250716</v>
      </c>
    </row>
    <row r="130" spans="1:18" x14ac:dyDescent="0.35">
      <c r="A130" s="39" t="s">
        <v>598</v>
      </c>
      <c r="B130" s="32">
        <v>1614</v>
      </c>
      <c r="C130" s="29">
        <v>8.3374659062732462E-3</v>
      </c>
      <c r="D130" s="32">
        <v>6701</v>
      </c>
      <c r="E130" s="29">
        <v>6.3612096265862677E-3</v>
      </c>
      <c r="F130" s="49">
        <v>131.06730316553853</v>
      </c>
      <c r="G130" s="45">
        <v>31.067303165538533</v>
      </c>
    </row>
    <row r="131" spans="1:18" x14ac:dyDescent="0.35">
      <c r="A131" s="39" t="s">
        <v>599</v>
      </c>
      <c r="B131" s="32">
        <v>2201</v>
      </c>
      <c r="C131" s="29">
        <v>1.1369741300933961E-2</v>
      </c>
      <c r="D131" s="32">
        <v>9541</v>
      </c>
      <c r="E131" s="29">
        <v>9.0572005741321564E-3</v>
      </c>
      <c r="F131" s="49">
        <v>125.53262134225605</v>
      </c>
      <c r="G131" s="45">
        <v>25.53262134225605</v>
      </c>
    </row>
    <row r="132" spans="1:18" x14ac:dyDescent="0.35">
      <c r="A132" s="39" t="s">
        <v>600</v>
      </c>
      <c r="B132" s="32">
        <v>3909</v>
      </c>
      <c r="C132" s="29">
        <v>2.0192784527646914E-2</v>
      </c>
      <c r="D132" s="32">
        <v>15015</v>
      </c>
      <c r="E132" s="29">
        <v>1.4253628196268141E-2</v>
      </c>
      <c r="F132" s="49">
        <v>141.6676810254792</v>
      </c>
      <c r="G132" s="45">
        <v>41.667681025479197</v>
      </c>
    </row>
    <row r="133" spans="1:18" x14ac:dyDescent="0.35">
      <c r="A133" s="39" t="s">
        <v>601</v>
      </c>
      <c r="B133" s="32">
        <v>52958</v>
      </c>
      <c r="C133" s="29">
        <v>0.27356599718985042</v>
      </c>
      <c r="D133" s="32">
        <v>277930</v>
      </c>
      <c r="E133" s="29">
        <v>0.26383688875050315</v>
      </c>
      <c r="F133" s="49">
        <v>103.68754668288543</v>
      </c>
      <c r="G133" s="45">
        <v>3.6875466828854258</v>
      </c>
    </row>
    <row r="134" spans="1:18" x14ac:dyDescent="0.35">
      <c r="A134" s="39" t="s">
        <v>602</v>
      </c>
      <c r="B134" s="32">
        <v>9427</v>
      </c>
      <c r="C134" s="29">
        <v>4.8697206380692616E-2</v>
      </c>
      <c r="D134" s="32">
        <v>36816</v>
      </c>
      <c r="E134" s="29">
        <v>3.4949155889031497E-2</v>
      </c>
      <c r="F134" s="49">
        <v>139.33728910452979</v>
      </c>
      <c r="G134" s="45">
        <v>39.337289104529788</v>
      </c>
    </row>
    <row r="135" spans="1:18" x14ac:dyDescent="0.35">
      <c r="A135" s="39" t="s">
        <v>603</v>
      </c>
      <c r="B135" s="32">
        <v>11872</v>
      </c>
      <c r="C135" s="29">
        <v>6.1327382428299861E-2</v>
      </c>
      <c r="D135" s="32">
        <v>48358</v>
      </c>
      <c r="E135" s="29">
        <v>4.5905890930078908E-2</v>
      </c>
      <c r="F135" s="49">
        <v>133.59370918584293</v>
      </c>
      <c r="G135" s="45">
        <v>33.593709185842926</v>
      </c>
    </row>
    <row r="136" spans="1:18" x14ac:dyDescent="0.35">
      <c r="A136" s="39" t="s">
        <v>604</v>
      </c>
      <c r="B136" s="32">
        <v>22764</v>
      </c>
      <c r="C136" s="29">
        <v>0.11759236300520705</v>
      </c>
      <c r="D136" s="32">
        <v>107407</v>
      </c>
      <c r="E136" s="29">
        <v>0.10196066890952862</v>
      </c>
      <c r="F136" s="49">
        <v>115.33110194632863</v>
      </c>
      <c r="G136" s="45">
        <v>15.33110194632863</v>
      </c>
    </row>
    <row r="137" spans="1:18" x14ac:dyDescent="0.35">
      <c r="A137" s="39" t="s">
        <v>605</v>
      </c>
      <c r="B137" s="32">
        <v>6188</v>
      </c>
      <c r="C137" s="29">
        <v>3.196545169022233E-2</v>
      </c>
      <c r="D137" s="32">
        <v>23445</v>
      </c>
      <c r="E137" s="29">
        <v>2.2256164706061045E-2</v>
      </c>
      <c r="F137" s="49">
        <v>143.62515784903923</v>
      </c>
      <c r="G137" s="45">
        <v>43.625157849039226</v>
      </c>
    </row>
    <row r="138" spans="1:18" x14ac:dyDescent="0.35">
      <c r="A138" s="62" t="s">
        <v>884</v>
      </c>
      <c r="B138" s="226">
        <v>193584</v>
      </c>
      <c r="C138" s="225"/>
      <c r="D138" s="224">
        <v>1053416</v>
      </c>
      <c r="E138" s="225"/>
      <c r="F138" s="58"/>
      <c r="G138" s="46"/>
    </row>
    <row r="139" spans="1:18" x14ac:dyDescent="0.35">
      <c r="A139" s="146"/>
      <c r="B139" s="147"/>
      <c r="C139" s="147"/>
      <c r="D139" s="147"/>
      <c r="E139" s="147"/>
      <c r="F139" s="148"/>
      <c r="G139" s="148"/>
    </row>
    <row r="140" spans="1:18" x14ac:dyDescent="0.35">
      <c r="A140" s="146"/>
      <c r="B140" s="147"/>
      <c r="C140" s="147"/>
      <c r="D140" s="147"/>
      <c r="E140" s="147"/>
      <c r="F140" s="148"/>
      <c r="G140" s="148"/>
    </row>
    <row r="141" spans="1:18" s="8" customFormat="1" ht="15" customHeight="1" x14ac:dyDescent="0.35">
      <c r="A141" s="17" t="s">
        <v>606</v>
      </c>
      <c r="B141" s="12"/>
      <c r="C141" s="12"/>
      <c r="D141" s="12"/>
      <c r="E141" s="12"/>
      <c r="F141" s="12"/>
      <c r="G141" s="54"/>
      <c r="H141" s="111"/>
      <c r="I141" s="111"/>
      <c r="J141" s="111"/>
      <c r="K141" s="111"/>
      <c r="L141" s="111"/>
      <c r="M141" s="111"/>
      <c r="N141" s="111"/>
      <c r="O141" s="111"/>
      <c r="P141" s="111"/>
      <c r="Q141" s="111"/>
      <c r="R141" s="111"/>
    </row>
    <row r="142" spans="1:18" ht="15" customHeight="1" x14ac:dyDescent="0.35">
      <c r="A142" s="21" t="s">
        <v>119</v>
      </c>
      <c r="B142" s="9"/>
      <c r="C142" s="9"/>
      <c r="D142" s="9"/>
      <c r="E142" s="9"/>
      <c r="F142" s="9"/>
      <c r="G142" s="3"/>
    </row>
    <row r="143" spans="1:18" ht="40" customHeight="1" x14ac:dyDescent="0.35">
      <c r="A143" s="251" t="s">
        <v>120</v>
      </c>
      <c r="B143" s="227" t="s">
        <v>890</v>
      </c>
      <c r="C143" s="243" t="s">
        <v>890</v>
      </c>
      <c r="D143" s="227" t="s">
        <v>891</v>
      </c>
      <c r="E143" s="228" t="s">
        <v>891</v>
      </c>
      <c r="F143" s="235" t="s">
        <v>1</v>
      </c>
      <c r="G143" s="236" t="s">
        <v>1</v>
      </c>
    </row>
    <row r="144" spans="1:18" x14ac:dyDescent="0.35">
      <c r="A144" s="239" t="s">
        <v>866</v>
      </c>
      <c r="B144" s="35" t="s">
        <v>73</v>
      </c>
      <c r="C144" s="36" t="s">
        <v>74</v>
      </c>
      <c r="D144" s="34" t="s">
        <v>73</v>
      </c>
      <c r="E144" s="36" t="s">
        <v>74</v>
      </c>
      <c r="F144" s="237" t="s">
        <v>864</v>
      </c>
      <c r="G144" s="238" t="s">
        <v>865</v>
      </c>
    </row>
    <row r="145" spans="1:8" x14ac:dyDescent="0.35">
      <c r="A145" s="72" t="s">
        <v>36</v>
      </c>
      <c r="B145" s="67">
        <v>2670</v>
      </c>
      <c r="C145" s="48">
        <v>1.3792462186957601E-2</v>
      </c>
      <c r="D145" s="67">
        <v>14766</v>
      </c>
      <c r="E145" s="48">
        <v>1.4017254342064293E-2</v>
      </c>
      <c r="F145" s="49">
        <v>98.396318211676331</v>
      </c>
      <c r="G145" s="45">
        <v>-1.6036817883236694</v>
      </c>
    </row>
    <row r="146" spans="1:8" x14ac:dyDescent="0.35">
      <c r="A146" s="72" t="s">
        <v>37</v>
      </c>
      <c r="B146" s="67">
        <v>6251</v>
      </c>
      <c r="C146" s="42">
        <v>3.2290891809240434E-2</v>
      </c>
      <c r="D146" s="67">
        <v>39317</v>
      </c>
      <c r="E146" s="42">
        <v>3.732333664952877E-2</v>
      </c>
      <c r="F146" s="49">
        <v>86.516626614753974</v>
      </c>
      <c r="G146" s="45">
        <v>-13.483373385246026</v>
      </c>
    </row>
    <row r="147" spans="1:8" x14ac:dyDescent="0.35">
      <c r="A147" s="72" t="s">
        <v>38</v>
      </c>
      <c r="B147" s="67">
        <v>5660</v>
      </c>
      <c r="C147" s="42">
        <v>2.9237953549880156E-2</v>
      </c>
      <c r="D147" s="67">
        <v>31243</v>
      </c>
      <c r="E147" s="42">
        <v>2.9658748300766268E-2</v>
      </c>
      <c r="F147" s="49">
        <v>98.581212036938055</v>
      </c>
      <c r="G147" s="45">
        <v>-1.4187879630619449</v>
      </c>
    </row>
    <row r="148" spans="1:8" x14ac:dyDescent="0.35">
      <c r="A148" s="72" t="s">
        <v>39</v>
      </c>
      <c r="B148" s="67">
        <v>100</v>
      </c>
      <c r="C148" s="42">
        <v>5.1657161748904867E-4</v>
      </c>
      <c r="D148" s="67">
        <v>168</v>
      </c>
      <c r="E148" s="42">
        <v>1.5948115464355962E-4</v>
      </c>
      <c r="F148" s="49">
        <v>323.90762321954981</v>
      </c>
      <c r="G148" s="45">
        <v>223.90762321954981</v>
      </c>
    </row>
    <row r="149" spans="1:8" x14ac:dyDescent="0.35">
      <c r="A149" s="72" t="s">
        <v>40</v>
      </c>
      <c r="B149" s="67">
        <v>835</v>
      </c>
      <c r="C149" s="42">
        <v>4.3133730060335562E-3</v>
      </c>
      <c r="D149" s="67">
        <v>4562</v>
      </c>
      <c r="E149" s="42">
        <v>4.3306727826423752E-3</v>
      </c>
      <c r="F149" s="49">
        <v>99.600529121522229</v>
      </c>
      <c r="G149" s="45">
        <v>-0.39947087847777141</v>
      </c>
    </row>
    <row r="150" spans="1:8" x14ac:dyDescent="0.35">
      <c r="A150" s="72" t="s">
        <v>41</v>
      </c>
      <c r="B150" s="67">
        <v>2987</v>
      </c>
      <c r="C150" s="42">
        <v>1.5429994214397884E-2</v>
      </c>
      <c r="D150" s="67">
        <v>14334</v>
      </c>
      <c r="E150" s="42">
        <v>1.3607159944409426E-2</v>
      </c>
      <c r="F150" s="49">
        <v>113.39614054244566</v>
      </c>
      <c r="G150" s="45">
        <v>13.396140542445664</v>
      </c>
    </row>
    <row r="151" spans="1:8" x14ac:dyDescent="0.35">
      <c r="A151" s="72" t="s">
        <v>42</v>
      </c>
      <c r="B151" s="74">
        <v>498</v>
      </c>
      <c r="C151" s="42">
        <v>2.5725266550954626E-3</v>
      </c>
      <c r="D151" s="74">
        <v>3239</v>
      </c>
      <c r="E151" s="42">
        <v>3.074758689824343E-3</v>
      </c>
      <c r="F151" s="49">
        <v>83.665969092437237</v>
      </c>
      <c r="G151" s="45">
        <v>-16.334030907562763</v>
      </c>
    </row>
    <row r="152" spans="1:8" x14ac:dyDescent="0.35">
      <c r="A152" s="72" t="s">
        <v>43</v>
      </c>
      <c r="B152" s="74">
        <v>4388</v>
      </c>
      <c r="C152" s="42">
        <v>2.2667162575419456E-2</v>
      </c>
      <c r="D152" s="74">
        <v>16616</v>
      </c>
      <c r="E152" s="42">
        <v>1.5773445628317777E-2</v>
      </c>
      <c r="F152" s="49">
        <v>143.70457228904706</v>
      </c>
      <c r="G152" s="45">
        <v>43.704572289047064</v>
      </c>
    </row>
    <row r="153" spans="1:8" x14ac:dyDescent="0.35">
      <c r="A153" s="72" t="s">
        <v>44</v>
      </c>
      <c r="B153" s="67">
        <v>4955</v>
      </c>
      <c r="C153" s="42">
        <v>2.5596123646582362E-2</v>
      </c>
      <c r="D153" s="67">
        <v>31058</v>
      </c>
      <c r="E153" s="42">
        <v>2.948312917214092E-2</v>
      </c>
      <c r="F153" s="49">
        <v>86.816170349952372</v>
      </c>
      <c r="G153" s="45">
        <v>-13.183829650047628</v>
      </c>
    </row>
    <row r="154" spans="1:8" x14ac:dyDescent="0.35">
      <c r="A154" s="73" t="s">
        <v>45</v>
      </c>
      <c r="B154" s="69">
        <v>3023</v>
      </c>
      <c r="C154" s="53">
        <v>1.5615959996693941E-2</v>
      </c>
      <c r="D154" s="69">
        <v>13409</v>
      </c>
      <c r="E154" s="53">
        <v>1.2729064301282685E-2</v>
      </c>
      <c r="F154" s="49">
        <v>122.67955936965728</v>
      </c>
      <c r="G154" s="45">
        <v>22.679559369657284</v>
      </c>
    </row>
    <row r="155" spans="1:8" x14ac:dyDescent="0.35">
      <c r="A155" s="62" t="s">
        <v>884</v>
      </c>
      <c r="B155" s="226">
        <v>193584</v>
      </c>
      <c r="C155" s="225"/>
      <c r="D155" s="226">
        <v>1053416</v>
      </c>
      <c r="E155" s="225"/>
      <c r="F155" s="58"/>
      <c r="G155" s="46"/>
    </row>
    <row r="156" spans="1:8" ht="15" customHeight="1" x14ac:dyDescent="0.35">
      <c r="A156" s="43"/>
      <c r="B156" s="43"/>
      <c r="C156" s="43"/>
      <c r="D156" s="43"/>
      <c r="E156" s="43"/>
      <c r="F156" s="43"/>
      <c r="G156" s="43"/>
    </row>
    <row r="157" spans="1:8" ht="15" customHeight="1" x14ac:dyDescent="0.35">
      <c r="A157" s="21" t="s">
        <v>413</v>
      </c>
      <c r="B157" s="9"/>
      <c r="C157" s="9"/>
      <c r="D157" s="9"/>
      <c r="E157" s="9"/>
      <c r="F157" s="9"/>
      <c r="G157" s="3"/>
    </row>
    <row r="158" spans="1:8" ht="40" customHeight="1" x14ac:dyDescent="0.35">
      <c r="A158" s="251" t="s">
        <v>414</v>
      </c>
      <c r="B158" s="227" t="s">
        <v>890</v>
      </c>
      <c r="C158" s="243" t="s">
        <v>890</v>
      </c>
      <c r="D158" s="227" t="s">
        <v>891</v>
      </c>
      <c r="E158" s="228" t="s">
        <v>891</v>
      </c>
      <c r="F158" s="235" t="s">
        <v>1</v>
      </c>
      <c r="G158" s="236" t="s">
        <v>1</v>
      </c>
      <c r="H158" s="106"/>
    </row>
    <row r="159" spans="1:8" x14ac:dyDescent="0.35">
      <c r="A159" s="239" t="s">
        <v>866</v>
      </c>
      <c r="B159" s="35" t="s">
        <v>73</v>
      </c>
      <c r="C159" s="36" t="s">
        <v>74</v>
      </c>
      <c r="D159" s="34" t="s">
        <v>73</v>
      </c>
      <c r="E159" s="36" t="s">
        <v>74</v>
      </c>
      <c r="F159" s="237" t="s">
        <v>864</v>
      </c>
      <c r="G159" s="238" t="s">
        <v>865</v>
      </c>
    </row>
    <row r="160" spans="1:8" x14ac:dyDescent="0.35">
      <c r="A160" s="72" t="s">
        <v>393</v>
      </c>
      <c r="B160" s="67">
        <v>4169</v>
      </c>
      <c r="C160" s="48">
        <v>2.153587073311844E-2</v>
      </c>
      <c r="D160" s="67">
        <v>16547</v>
      </c>
      <c r="E160" s="48">
        <v>1.5707944439803459E-2</v>
      </c>
      <c r="F160" s="49">
        <v>137.10177557381215</v>
      </c>
      <c r="G160" s="45">
        <v>37.101775573812148</v>
      </c>
    </row>
    <row r="161" spans="1:7" x14ac:dyDescent="0.35">
      <c r="A161" s="72" t="s">
        <v>394</v>
      </c>
      <c r="B161" s="67">
        <v>63</v>
      </c>
      <c r="C161" s="42">
        <v>3.2544011901810069E-4</v>
      </c>
      <c r="D161" s="67">
        <v>180</v>
      </c>
      <c r="E161" s="42">
        <v>1.7087266568952816E-4</v>
      </c>
      <c r="F161" s="49">
        <v>190.45768245309532</v>
      </c>
      <c r="G161" s="45">
        <v>90.457682453095316</v>
      </c>
    </row>
    <row r="162" spans="1:7" x14ac:dyDescent="0.35">
      <c r="A162" s="72" t="s">
        <v>395</v>
      </c>
      <c r="B162" s="67">
        <v>2565</v>
      </c>
      <c r="C162" s="42">
        <v>1.3250061988594099E-2</v>
      </c>
      <c r="D162" s="67">
        <v>11529</v>
      </c>
      <c r="E162" s="42">
        <v>1.0944394237414279E-2</v>
      </c>
      <c r="F162" s="49">
        <v>121.06711162960224</v>
      </c>
      <c r="G162" s="45">
        <v>21.067111629602238</v>
      </c>
    </row>
    <row r="163" spans="1:7" x14ac:dyDescent="0.35">
      <c r="A163" s="72" t="s">
        <v>396</v>
      </c>
      <c r="B163" s="67">
        <v>88</v>
      </c>
      <c r="C163" s="42">
        <v>4.5458302339036283E-4</v>
      </c>
      <c r="D163" s="67">
        <v>172</v>
      </c>
      <c r="E163" s="42">
        <v>1.632783249922158E-4</v>
      </c>
      <c r="F163" s="49">
        <v>278.40990126033864</v>
      </c>
      <c r="G163" s="45">
        <v>178.40990126033864</v>
      </c>
    </row>
    <row r="164" spans="1:7" x14ac:dyDescent="0.35">
      <c r="A164" s="72" t="s">
        <v>397</v>
      </c>
      <c r="B164" s="67">
        <v>7061</v>
      </c>
      <c r="C164" s="42">
        <v>3.6475121910901728E-2</v>
      </c>
      <c r="D164" s="67">
        <v>40635</v>
      </c>
      <c r="E164" s="42">
        <v>3.8574504279410983E-2</v>
      </c>
      <c r="F164" s="49">
        <v>94.557590803234774</v>
      </c>
      <c r="G164" s="45">
        <v>-5.4424091967652259</v>
      </c>
    </row>
    <row r="165" spans="1:7" x14ac:dyDescent="0.35">
      <c r="A165" s="72" t="s">
        <v>398</v>
      </c>
      <c r="B165" s="67">
        <v>1442</v>
      </c>
      <c r="C165" s="42">
        <v>7.4489627241920821E-3</v>
      </c>
      <c r="D165" s="67">
        <v>6070</v>
      </c>
      <c r="E165" s="42">
        <v>5.7622060040857549E-3</v>
      </c>
      <c r="F165" s="49">
        <v>129.2727597539955</v>
      </c>
      <c r="G165" s="45">
        <v>29.272759753995501</v>
      </c>
    </row>
    <row r="166" spans="1:7" x14ac:dyDescent="0.35">
      <c r="A166" s="72" t="s">
        <v>399</v>
      </c>
      <c r="B166" s="67">
        <v>7105</v>
      </c>
      <c r="C166" s="42">
        <v>3.6702413422596912E-2</v>
      </c>
      <c r="D166" s="67">
        <v>41869</v>
      </c>
      <c r="E166" s="42">
        <v>3.9745931331971414E-2</v>
      </c>
      <c r="F166" s="49">
        <v>92.342567383931666</v>
      </c>
      <c r="G166" s="45">
        <v>-7.6574326160683341</v>
      </c>
    </row>
    <row r="167" spans="1:7" x14ac:dyDescent="0.35">
      <c r="A167" s="72" t="s">
        <v>400</v>
      </c>
      <c r="B167" s="67">
        <v>2230</v>
      </c>
      <c r="C167" s="42">
        <v>1.1519547070005786E-2</v>
      </c>
      <c r="D167" s="67">
        <v>10446</v>
      </c>
      <c r="E167" s="42">
        <v>9.9163103655156171E-3</v>
      </c>
      <c r="F167" s="49">
        <v>116.16767371527106</v>
      </c>
      <c r="G167" s="45">
        <v>16.167673715271064</v>
      </c>
    </row>
    <row r="168" spans="1:7" x14ac:dyDescent="0.35">
      <c r="A168" s="72" t="s">
        <v>401</v>
      </c>
      <c r="B168" s="67">
        <v>7660</v>
      </c>
      <c r="C168" s="42">
        <v>3.9569385899661129E-2</v>
      </c>
      <c r="D168" s="67">
        <v>39599</v>
      </c>
      <c r="E168" s="42">
        <v>3.7591037159109032E-2</v>
      </c>
      <c r="F168" s="49">
        <v>105.26282031586007</v>
      </c>
      <c r="G168" s="45">
        <v>5.2628203158600684</v>
      </c>
    </row>
    <row r="169" spans="1:7" x14ac:dyDescent="0.35">
      <c r="A169" s="72" t="s">
        <v>402</v>
      </c>
      <c r="B169" s="67">
        <v>6019</v>
      </c>
      <c r="C169" s="42">
        <v>3.109244565666584E-2</v>
      </c>
      <c r="D169" s="67">
        <v>28551</v>
      </c>
      <c r="E169" s="42">
        <v>2.7103252656120659E-2</v>
      </c>
      <c r="F169" s="49">
        <v>114.71850279801863</v>
      </c>
      <c r="G169" s="45">
        <v>14.718502798018633</v>
      </c>
    </row>
    <row r="170" spans="1:7" x14ac:dyDescent="0.35">
      <c r="A170" s="73" t="s">
        <v>403</v>
      </c>
      <c r="B170" s="67">
        <v>5538</v>
      </c>
      <c r="C170" s="53">
        <v>2.8607736176543518E-2</v>
      </c>
      <c r="D170" s="67">
        <v>24577</v>
      </c>
      <c r="E170" s="53">
        <v>2.3330763914730743E-2</v>
      </c>
      <c r="F170" s="49">
        <v>122.61808606481574</v>
      </c>
      <c r="G170" s="45">
        <v>22.618086064815742</v>
      </c>
    </row>
    <row r="171" spans="1:7" x14ac:dyDescent="0.35">
      <c r="A171" s="62" t="s">
        <v>884</v>
      </c>
      <c r="B171" s="226">
        <v>193584</v>
      </c>
      <c r="C171" s="225"/>
      <c r="D171" s="226">
        <v>1053416</v>
      </c>
      <c r="E171" s="225"/>
      <c r="F171" s="58"/>
      <c r="G171" s="46"/>
    </row>
    <row r="172" spans="1:7" ht="15" customHeight="1" x14ac:dyDescent="0.35">
      <c r="A172" s="43"/>
      <c r="B172" s="43"/>
      <c r="C172" s="43"/>
      <c r="D172" s="43"/>
      <c r="E172" s="43"/>
      <c r="F172" s="43"/>
      <c r="G172" s="43"/>
    </row>
    <row r="173" spans="1:7" ht="9.75" customHeight="1" x14ac:dyDescent="0.35">
      <c r="A173" s="278" t="s">
        <v>522</v>
      </c>
      <c r="B173" s="278"/>
      <c r="C173" s="278"/>
      <c r="D173" s="278"/>
      <c r="E173" s="278"/>
      <c r="F173" s="278"/>
      <c r="G173" s="278"/>
    </row>
    <row r="174" spans="1:7" ht="9.75" customHeight="1" x14ac:dyDescent="0.35">
      <c r="A174" s="278"/>
      <c r="B174" s="278"/>
      <c r="C174" s="278"/>
      <c r="D174" s="278"/>
      <c r="E174" s="278"/>
      <c r="F174" s="278"/>
      <c r="G174" s="278"/>
    </row>
    <row r="188" spans="1:3" x14ac:dyDescent="0.35">
      <c r="A188" s="2"/>
      <c r="B188" s="2"/>
      <c r="C188" s="2"/>
    </row>
    <row r="189" spans="1:3" x14ac:dyDescent="0.35">
      <c r="A189" s="2"/>
      <c r="B189" s="2"/>
      <c r="C189" s="2"/>
    </row>
    <row r="190" spans="1:3" x14ac:dyDescent="0.35">
      <c r="A190" s="2"/>
      <c r="B190" s="2"/>
      <c r="C190" s="2"/>
    </row>
    <row r="191" spans="1:3" x14ac:dyDescent="0.35">
      <c r="A191" s="2"/>
      <c r="B191" s="2"/>
      <c r="C191" s="2"/>
    </row>
    <row r="192" spans="1:3" x14ac:dyDescent="0.35">
      <c r="A192" s="2"/>
      <c r="B192" s="2"/>
      <c r="C192" s="2"/>
    </row>
    <row r="193" spans="1:3" x14ac:dyDescent="0.35">
      <c r="A193" s="2"/>
      <c r="B193" s="2"/>
      <c r="C193" s="2"/>
    </row>
    <row r="194" spans="1:3" x14ac:dyDescent="0.35">
      <c r="A194" s="2"/>
      <c r="B194" s="2"/>
      <c r="C194" s="2"/>
    </row>
    <row r="195" spans="1:3" x14ac:dyDescent="0.35">
      <c r="A195" s="2"/>
      <c r="B195" s="2"/>
      <c r="C195" s="2"/>
    </row>
    <row r="196" spans="1:3" x14ac:dyDescent="0.35">
      <c r="A196" s="2"/>
      <c r="B196" s="2"/>
      <c r="C196" s="2"/>
    </row>
    <row r="197" spans="1:3" x14ac:dyDescent="0.35">
      <c r="A197" s="2"/>
      <c r="B197" s="2"/>
      <c r="C197" s="2"/>
    </row>
    <row r="198" spans="1:3" x14ac:dyDescent="0.35">
      <c r="A198" s="2"/>
      <c r="B198" s="2"/>
      <c r="C198" s="2"/>
    </row>
    <row r="199" spans="1:3" x14ac:dyDescent="0.35">
      <c r="A199" s="2"/>
      <c r="B199" s="2"/>
      <c r="C199" s="2"/>
    </row>
    <row r="200" spans="1:3" x14ac:dyDescent="0.35">
      <c r="A200" s="2"/>
      <c r="B200" s="2"/>
      <c r="C200" s="2"/>
    </row>
    <row r="201" spans="1:3" x14ac:dyDescent="0.35">
      <c r="A201" s="2"/>
      <c r="B201" s="2"/>
      <c r="C201" s="2"/>
    </row>
    <row r="202" spans="1:3" x14ac:dyDescent="0.35">
      <c r="A202" s="2"/>
      <c r="B202" s="2"/>
      <c r="C202" s="2"/>
    </row>
    <row r="203" spans="1:3" x14ac:dyDescent="0.35">
      <c r="A203" s="2"/>
      <c r="B203" s="2"/>
      <c r="C203" s="2"/>
    </row>
    <row r="204" spans="1:3" x14ac:dyDescent="0.35">
      <c r="A204" s="2"/>
      <c r="B204" s="2"/>
      <c r="C204" s="2"/>
    </row>
    <row r="205" spans="1:3" x14ac:dyDescent="0.35">
      <c r="A205" s="2"/>
      <c r="B205" s="2"/>
      <c r="C205" s="2"/>
    </row>
    <row r="206" spans="1:3" x14ac:dyDescent="0.35">
      <c r="A206" s="2"/>
      <c r="B206" s="2"/>
      <c r="C206" s="2"/>
    </row>
    <row r="207" spans="1:3" x14ac:dyDescent="0.35">
      <c r="A207" s="2"/>
      <c r="B207" s="2"/>
      <c r="C207" s="2"/>
    </row>
    <row r="208" spans="1:3" x14ac:dyDescent="0.35">
      <c r="A208" s="2"/>
      <c r="B208" s="2"/>
      <c r="C208" s="2"/>
    </row>
    <row r="209" spans="1:3" x14ac:dyDescent="0.35">
      <c r="A209" s="2"/>
      <c r="B209" s="2"/>
      <c r="C209" s="2"/>
    </row>
    <row r="210" spans="1:3" x14ac:dyDescent="0.35">
      <c r="A210" s="2"/>
      <c r="B210" s="2"/>
      <c r="C210" s="2"/>
    </row>
    <row r="211" spans="1:3" x14ac:dyDescent="0.35">
      <c r="A211" s="2"/>
      <c r="B211" s="2"/>
      <c r="C211" s="2"/>
    </row>
    <row r="212" spans="1:3" x14ac:dyDescent="0.35">
      <c r="A212" s="2"/>
      <c r="B212" s="2"/>
      <c r="C212" s="2"/>
    </row>
    <row r="213" spans="1:3" x14ac:dyDescent="0.35">
      <c r="A213" s="2"/>
      <c r="B213" s="2"/>
      <c r="C213" s="2"/>
    </row>
    <row r="214" spans="1:3" x14ac:dyDescent="0.35">
      <c r="A214" s="2"/>
      <c r="B214" s="2"/>
      <c r="C214" s="2"/>
    </row>
    <row r="215" spans="1:3" x14ac:dyDescent="0.35">
      <c r="A215" s="2"/>
      <c r="B215" s="2"/>
      <c r="C215" s="2"/>
    </row>
    <row r="216" spans="1:3" x14ac:dyDescent="0.35">
      <c r="A216" s="2"/>
      <c r="B216" s="2"/>
      <c r="C216" s="2"/>
    </row>
    <row r="217" spans="1:3" x14ac:dyDescent="0.35">
      <c r="A217" s="2"/>
      <c r="B217" s="2"/>
      <c r="C217" s="2"/>
    </row>
    <row r="218" spans="1:3" x14ac:dyDescent="0.35">
      <c r="A218" s="2"/>
      <c r="B218" s="2"/>
      <c r="C218" s="2"/>
    </row>
    <row r="219" spans="1:3" x14ac:dyDescent="0.35">
      <c r="A219" s="2"/>
      <c r="B219" s="2"/>
      <c r="C219" s="2"/>
    </row>
    <row r="220" spans="1:3" x14ac:dyDescent="0.35">
      <c r="A220" s="2"/>
      <c r="B220" s="2"/>
      <c r="C220" s="2"/>
    </row>
    <row r="221" spans="1:3" x14ac:dyDescent="0.35">
      <c r="A221" s="2"/>
      <c r="B221" s="2"/>
      <c r="C221" s="2"/>
    </row>
    <row r="222" spans="1:3" x14ac:dyDescent="0.35">
      <c r="A222" s="2"/>
      <c r="B222" s="2"/>
      <c r="C222" s="2"/>
    </row>
    <row r="223" spans="1:3" x14ac:dyDescent="0.35">
      <c r="A223" s="2"/>
      <c r="B223" s="2"/>
      <c r="C223" s="2"/>
    </row>
    <row r="224" spans="1:3" x14ac:dyDescent="0.35">
      <c r="A224" s="2"/>
      <c r="B224" s="2"/>
      <c r="C224" s="2"/>
    </row>
    <row r="225" spans="1:3" x14ac:dyDescent="0.35">
      <c r="A225" s="2"/>
      <c r="B225" s="2"/>
      <c r="C225" s="2"/>
    </row>
    <row r="226" spans="1:3" x14ac:dyDescent="0.35">
      <c r="A226" s="2"/>
      <c r="B226" s="2"/>
      <c r="C226" s="2"/>
    </row>
    <row r="227" spans="1:3" x14ac:dyDescent="0.35">
      <c r="A227" s="2"/>
      <c r="B227" s="2"/>
      <c r="C227" s="2"/>
    </row>
    <row r="228" spans="1:3" x14ac:dyDescent="0.35">
      <c r="A228" s="2"/>
      <c r="B228" s="2"/>
      <c r="C228" s="2"/>
    </row>
    <row r="229" spans="1:3" x14ac:dyDescent="0.35">
      <c r="A229" s="2"/>
      <c r="B229" s="2"/>
      <c r="C229" s="2"/>
    </row>
    <row r="230" spans="1:3" x14ac:dyDescent="0.35">
      <c r="A230" s="2"/>
      <c r="B230" s="2"/>
      <c r="C230" s="2"/>
    </row>
    <row r="231" spans="1:3" x14ac:dyDescent="0.35">
      <c r="A231" s="2"/>
      <c r="B231" s="2"/>
      <c r="C231" s="2"/>
    </row>
    <row r="232" spans="1:3" x14ac:dyDescent="0.35">
      <c r="A232" s="2"/>
      <c r="B232" s="2"/>
      <c r="C232" s="2"/>
    </row>
    <row r="233" spans="1:3" x14ac:dyDescent="0.35">
      <c r="A233" s="2"/>
      <c r="B233" s="2"/>
      <c r="C233" s="2"/>
    </row>
    <row r="234" spans="1:3" x14ac:dyDescent="0.35">
      <c r="A234" s="2"/>
      <c r="B234" s="2"/>
      <c r="C234" s="2"/>
    </row>
    <row r="235" spans="1:3" x14ac:dyDescent="0.35">
      <c r="A235" s="2"/>
      <c r="B235" s="2"/>
      <c r="C235" s="2"/>
    </row>
    <row r="236" spans="1:3" x14ac:dyDescent="0.35">
      <c r="A236" s="2"/>
      <c r="B236" s="2"/>
      <c r="C236" s="2"/>
    </row>
    <row r="237" spans="1:3" x14ac:dyDescent="0.35">
      <c r="A237" s="2"/>
      <c r="B237" s="2"/>
      <c r="C237" s="2"/>
    </row>
    <row r="238" spans="1:3" x14ac:dyDescent="0.35">
      <c r="A238" s="2"/>
      <c r="B238" s="2"/>
      <c r="C238" s="2"/>
    </row>
    <row r="239" spans="1:3" x14ac:dyDescent="0.35">
      <c r="A239" s="2"/>
      <c r="B239" s="2"/>
      <c r="C239" s="2"/>
    </row>
    <row r="240" spans="1:3" x14ac:dyDescent="0.35">
      <c r="A240" s="2"/>
      <c r="B240" s="2"/>
      <c r="C240" s="2"/>
    </row>
    <row r="241" spans="1:3" x14ac:dyDescent="0.35">
      <c r="A241" s="2"/>
      <c r="B241" s="2"/>
      <c r="C241" s="2"/>
    </row>
    <row r="242" spans="1:3" x14ac:dyDescent="0.35">
      <c r="A242" s="2"/>
      <c r="B242" s="2"/>
      <c r="C242" s="2"/>
    </row>
    <row r="243" spans="1:3" x14ac:dyDescent="0.35">
      <c r="A243" s="2"/>
      <c r="B243" s="2"/>
      <c r="C243" s="2"/>
    </row>
    <row r="244" spans="1:3" x14ac:dyDescent="0.35">
      <c r="A244" s="2"/>
      <c r="B244" s="2"/>
      <c r="C244" s="2"/>
    </row>
    <row r="245" spans="1:3" x14ac:dyDescent="0.35">
      <c r="A245" s="2"/>
      <c r="B245" s="2"/>
      <c r="C245" s="2"/>
    </row>
    <row r="246" spans="1:3" x14ac:dyDescent="0.35">
      <c r="A246" s="2"/>
      <c r="B246" s="2"/>
      <c r="C246" s="2"/>
    </row>
    <row r="247" spans="1:3" x14ac:dyDescent="0.35">
      <c r="A247" s="2"/>
      <c r="B247" s="2"/>
      <c r="C247" s="2"/>
    </row>
    <row r="248" spans="1:3" x14ac:dyDescent="0.35">
      <c r="A248" s="2"/>
      <c r="B248" s="2"/>
      <c r="C248" s="2"/>
    </row>
    <row r="249" spans="1:3" x14ac:dyDescent="0.35">
      <c r="A249" s="2"/>
      <c r="B249" s="2"/>
      <c r="C249" s="2"/>
    </row>
    <row r="250" spans="1:3" x14ac:dyDescent="0.35">
      <c r="A250" s="2"/>
      <c r="B250" s="2"/>
      <c r="C250" s="2"/>
    </row>
    <row r="251" spans="1:3" x14ac:dyDescent="0.35">
      <c r="A251" s="2"/>
      <c r="B251" s="2"/>
      <c r="C251" s="2"/>
    </row>
    <row r="252" spans="1:3" x14ac:dyDescent="0.35">
      <c r="A252" s="2"/>
      <c r="B252" s="2"/>
      <c r="C252" s="2"/>
    </row>
    <row r="253" spans="1:3" x14ac:dyDescent="0.35">
      <c r="A253" s="2"/>
      <c r="B253" s="2"/>
      <c r="C253" s="2"/>
    </row>
    <row r="254" spans="1:3" x14ac:dyDescent="0.35">
      <c r="A254" s="2"/>
      <c r="B254" s="2"/>
      <c r="C254" s="2"/>
    </row>
    <row r="255" spans="1:3" x14ac:dyDescent="0.35">
      <c r="A255" s="2"/>
      <c r="B255" s="2"/>
      <c r="C255" s="2"/>
    </row>
    <row r="256" spans="1:3" x14ac:dyDescent="0.35">
      <c r="A256" s="2"/>
      <c r="B256" s="2"/>
      <c r="C256" s="2"/>
    </row>
    <row r="257" spans="1:3" x14ac:dyDescent="0.35">
      <c r="A257" s="2"/>
      <c r="B257" s="2"/>
      <c r="C257" s="2"/>
    </row>
    <row r="258" spans="1:3" x14ac:dyDescent="0.35">
      <c r="A258" s="2"/>
      <c r="B258" s="2"/>
      <c r="C258" s="2"/>
    </row>
    <row r="259" spans="1:3" x14ac:dyDescent="0.35">
      <c r="A259" s="2"/>
      <c r="B259" s="2"/>
      <c r="C259" s="2"/>
    </row>
    <row r="260" spans="1:3" x14ac:dyDescent="0.35">
      <c r="A260" s="2"/>
      <c r="B260" s="2"/>
      <c r="C260" s="2"/>
    </row>
    <row r="261" spans="1:3" x14ac:dyDescent="0.35">
      <c r="A261" s="2"/>
      <c r="B261" s="2"/>
      <c r="C261" s="2"/>
    </row>
    <row r="262" spans="1:3" x14ac:dyDescent="0.35">
      <c r="A262" s="2"/>
      <c r="B262" s="2"/>
      <c r="C262" s="2"/>
    </row>
    <row r="263" spans="1:3" x14ac:dyDescent="0.35">
      <c r="A263" s="2"/>
      <c r="B263" s="2"/>
      <c r="C263" s="2"/>
    </row>
    <row r="264" spans="1:3" x14ac:dyDescent="0.35">
      <c r="A264" s="2"/>
      <c r="B264" s="2"/>
      <c r="C264" s="2"/>
    </row>
    <row r="265" spans="1:3" x14ac:dyDescent="0.35">
      <c r="A265" s="2"/>
      <c r="B265" s="2"/>
      <c r="C265" s="2"/>
    </row>
    <row r="266" spans="1:3" x14ac:dyDescent="0.35">
      <c r="A266" s="2"/>
      <c r="B266" s="2"/>
      <c r="C266" s="2"/>
    </row>
    <row r="267" spans="1:3" x14ac:dyDescent="0.35">
      <c r="A267" s="2"/>
      <c r="B267" s="2"/>
      <c r="C267" s="2"/>
    </row>
    <row r="268" spans="1:3" x14ac:dyDescent="0.35">
      <c r="A268" s="2"/>
      <c r="B268" s="2"/>
      <c r="C268" s="2"/>
    </row>
    <row r="269" spans="1:3" x14ac:dyDescent="0.35">
      <c r="A269" s="2"/>
      <c r="B269" s="2"/>
      <c r="C269" s="2"/>
    </row>
    <row r="270" spans="1:3" x14ac:dyDescent="0.35">
      <c r="A270" s="2"/>
      <c r="B270" s="2"/>
      <c r="C270" s="2"/>
    </row>
    <row r="271" spans="1:3" x14ac:dyDescent="0.35">
      <c r="A271" s="2"/>
      <c r="B271" s="2"/>
      <c r="C271" s="2"/>
    </row>
    <row r="272" spans="1:3" x14ac:dyDescent="0.35">
      <c r="A272" s="2"/>
      <c r="B272" s="2"/>
      <c r="C272" s="2"/>
    </row>
    <row r="273" spans="1:3" x14ac:dyDescent="0.35">
      <c r="A273" s="2"/>
      <c r="B273" s="2"/>
      <c r="C273" s="2"/>
    </row>
    <row r="274" spans="1:3" x14ac:dyDescent="0.35">
      <c r="A274" s="2"/>
      <c r="B274" s="2"/>
      <c r="C274" s="2"/>
    </row>
    <row r="275" spans="1:3" x14ac:dyDescent="0.35">
      <c r="A275" s="2"/>
      <c r="B275" s="2"/>
      <c r="C275" s="2"/>
    </row>
    <row r="276" spans="1:3" x14ac:dyDescent="0.35">
      <c r="A276" s="2"/>
      <c r="B276" s="2"/>
      <c r="C276" s="2"/>
    </row>
    <row r="277" spans="1:3" x14ac:dyDescent="0.35">
      <c r="A277" s="2"/>
      <c r="B277" s="2"/>
      <c r="C277" s="2"/>
    </row>
    <row r="278" spans="1:3" x14ac:dyDescent="0.35">
      <c r="A278" s="2"/>
      <c r="B278" s="2"/>
      <c r="C278" s="2"/>
    </row>
    <row r="279" spans="1:3" x14ac:dyDescent="0.35">
      <c r="A279" s="2"/>
      <c r="B279" s="2"/>
      <c r="C279" s="2"/>
    </row>
    <row r="280" spans="1:3" x14ac:dyDescent="0.35">
      <c r="A280" s="2"/>
      <c r="B280" s="2"/>
      <c r="C280" s="2"/>
    </row>
  </sheetData>
  <mergeCells count="5">
    <mergeCell ref="A173:G173"/>
    <mergeCell ref="A174:G174"/>
    <mergeCell ref="A4:G5"/>
    <mergeCell ref="A10:G10"/>
    <mergeCell ref="A12:F12"/>
  </mergeCells>
  <conditionalFormatting sqref="F16:F28 F145:F154">
    <cfRule type="cellIs" dxfId="27" priority="34" operator="greaterThan">
      <formula>110</formula>
    </cfRule>
    <cfRule type="cellIs" dxfId="26" priority="35" operator="lessThan">
      <formula>90</formula>
    </cfRule>
  </conditionalFormatting>
  <conditionalFormatting sqref="F34:F41">
    <cfRule type="cellIs" dxfId="25" priority="29" operator="greaterThan">
      <formula>110</formula>
    </cfRule>
    <cfRule type="cellIs" dxfId="24" priority="30" operator="lessThan">
      <formula>90</formula>
    </cfRule>
  </conditionalFormatting>
  <conditionalFormatting sqref="F47:F50">
    <cfRule type="cellIs" dxfId="23" priority="24" operator="greaterThan">
      <formula>110</formula>
    </cfRule>
    <cfRule type="cellIs" dxfId="22" priority="25" operator="lessThan">
      <formula>90</formula>
    </cfRule>
  </conditionalFormatting>
  <conditionalFormatting sqref="F56:F88">
    <cfRule type="cellIs" dxfId="21" priority="19" operator="greaterThan">
      <formula>110</formula>
    </cfRule>
    <cfRule type="cellIs" dxfId="20" priority="20" operator="lessThan">
      <formula>90</formula>
    </cfRule>
  </conditionalFormatting>
  <conditionalFormatting sqref="F94:F137">
    <cfRule type="cellIs" dxfId="19" priority="14" operator="greaterThan">
      <formula>110</formula>
    </cfRule>
    <cfRule type="cellIs" dxfId="18" priority="15" operator="lessThan">
      <formula>90</formula>
    </cfRule>
  </conditionalFormatting>
  <conditionalFormatting sqref="F160:F170">
    <cfRule type="cellIs" dxfId="17" priority="4" operator="greaterThan">
      <formula>110</formula>
    </cfRule>
    <cfRule type="cellIs" dxfId="16" priority="5" operator="lessThan">
      <formula>90</formula>
    </cfRule>
  </conditionalFormatting>
  <conditionalFormatting sqref="G16:G28 G145:G154">
    <cfRule type="expression" dxfId="15" priority="31">
      <formula>AND(F16&lt;=90,(E16-C16&gt;=0.05))</formula>
    </cfRule>
    <cfRule type="expression" dxfId="14" priority="32">
      <formula>AND(F16&gt;=110,(C16-E16&gt;=0.05))</formula>
    </cfRule>
    <cfRule type="dataBar" priority="33">
      <dataBar showValue="0">
        <cfvo type="num" val="-100"/>
        <cfvo type="num" val="200"/>
        <color theme="8"/>
      </dataBar>
      <extLst>
        <ext xmlns:x14="http://schemas.microsoft.com/office/spreadsheetml/2009/9/main" uri="{B025F937-C7B1-47D3-B67F-A62EFF666E3E}">
          <x14:id>{7510C6F0-A787-4BA1-A810-C50D6A94CE0D}</x14:id>
        </ext>
      </extLst>
    </cfRule>
  </conditionalFormatting>
  <conditionalFormatting sqref="G34:G41">
    <cfRule type="expression" dxfId="13" priority="26">
      <formula>AND(F34&lt;=90,(E34-C34&gt;=0.05))</formula>
    </cfRule>
    <cfRule type="expression" dxfId="12" priority="27">
      <formula>AND(F34&gt;=110,(C34-E34&gt;=0.05))</formula>
    </cfRule>
    <cfRule type="dataBar" priority="28">
      <dataBar showValue="0">
        <cfvo type="num" val="-100"/>
        <cfvo type="num" val="200"/>
        <color theme="8"/>
      </dataBar>
      <extLst>
        <ext xmlns:x14="http://schemas.microsoft.com/office/spreadsheetml/2009/9/main" uri="{B025F937-C7B1-47D3-B67F-A62EFF666E3E}">
          <x14:id>{020178C8-602D-4071-B8BA-0035C25BC2DD}</x14:id>
        </ext>
      </extLst>
    </cfRule>
  </conditionalFormatting>
  <conditionalFormatting sqref="G47:G50">
    <cfRule type="expression" dxfId="11" priority="21">
      <formula>AND(F47&lt;=90,(E47-C47&gt;=0.05))</formula>
    </cfRule>
    <cfRule type="expression" dxfId="10" priority="22">
      <formula>AND(F47&gt;=110,(C47-E47&gt;=0.05))</formula>
    </cfRule>
    <cfRule type="dataBar" priority="23">
      <dataBar showValue="0">
        <cfvo type="num" val="-100"/>
        <cfvo type="num" val="200"/>
        <color theme="8"/>
      </dataBar>
      <extLst>
        <ext xmlns:x14="http://schemas.microsoft.com/office/spreadsheetml/2009/9/main" uri="{B025F937-C7B1-47D3-B67F-A62EFF666E3E}">
          <x14:id>{EFBAFD71-C4CB-4004-A400-EB8062FA795C}</x14:id>
        </ext>
      </extLst>
    </cfRule>
  </conditionalFormatting>
  <conditionalFormatting sqref="G56:G88">
    <cfRule type="expression" dxfId="9" priority="16">
      <formula>AND(F56&lt;=90,(E56-C56&gt;=0.05))</formula>
    </cfRule>
    <cfRule type="expression" dxfId="8" priority="17">
      <formula>AND(F56&gt;=110,(C56-E56&gt;=0.05))</formula>
    </cfRule>
    <cfRule type="dataBar" priority="18">
      <dataBar showValue="0">
        <cfvo type="num" val="-100"/>
        <cfvo type="num" val="200"/>
        <color theme="8"/>
      </dataBar>
      <extLst>
        <ext xmlns:x14="http://schemas.microsoft.com/office/spreadsheetml/2009/9/main" uri="{B025F937-C7B1-47D3-B67F-A62EFF666E3E}">
          <x14:id>{EBF1A8D5-8176-4CE8-AED7-CF376599EE9C}</x14:id>
        </ext>
      </extLst>
    </cfRule>
  </conditionalFormatting>
  <conditionalFormatting sqref="G94:G137">
    <cfRule type="expression" dxfId="7" priority="11">
      <formula>AND(F94&lt;=90,(E94-C94&gt;=0.05))</formula>
    </cfRule>
    <cfRule type="expression" dxfId="6" priority="12">
      <formula>AND(F94&gt;=110,(C94-E94&gt;=0.05))</formula>
    </cfRule>
    <cfRule type="dataBar" priority="13">
      <dataBar showValue="0">
        <cfvo type="num" val="-100"/>
        <cfvo type="num" val="200"/>
        <color theme="8"/>
      </dataBar>
      <extLst>
        <ext xmlns:x14="http://schemas.microsoft.com/office/spreadsheetml/2009/9/main" uri="{B025F937-C7B1-47D3-B67F-A62EFF666E3E}">
          <x14:id>{EDB9624E-85CC-4902-9FB8-7B258A5096AF}</x14:id>
        </ext>
      </extLst>
    </cfRule>
  </conditionalFormatting>
  <conditionalFormatting sqref="G160:G170">
    <cfRule type="expression" dxfId="5" priority="1">
      <formula>AND(F160&lt;=90,(E160-C160&gt;=0.05))</formula>
    </cfRule>
    <cfRule type="expression" dxfId="4" priority="2">
      <formula>AND(F160&gt;=110,(C160-E160&gt;=0.05))</formula>
    </cfRule>
    <cfRule type="dataBar" priority="3">
      <dataBar showValue="0">
        <cfvo type="num" val="-100"/>
        <cfvo type="num" val="200"/>
        <color theme="8"/>
      </dataBar>
      <extLst>
        <ext xmlns:x14="http://schemas.microsoft.com/office/spreadsheetml/2009/9/main" uri="{B025F937-C7B1-47D3-B67F-A62EFF666E3E}">
          <x14:id>{494AEDCB-65B2-448E-A8B9-3B76B284FA89}</x14:id>
        </ext>
      </extLst>
    </cfRule>
  </conditionalFormatting>
  <pageMargins left="0.70866141732283472" right="0.70866141732283472" top="0.74803149606299213" bottom="0.74803149606299213" header="0.31496062992125984" footer="0.31496062992125984"/>
  <pageSetup paperSize="9" scale="77" orientation="portrait"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dataBar" id="{7510C6F0-A787-4BA1-A810-C50D6A94CE0D}">
            <x14:dataBar minLength="0" maxLength="100" gradient="0" direction="leftToRight">
              <x14:cfvo type="num">
                <xm:f>-100</xm:f>
              </x14:cfvo>
              <x14:cfvo type="num">
                <xm:f>200</xm:f>
              </x14:cfvo>
              <x14:negativeFillColor theme="5"/>
              <x14:axisColor theme="1"/>
            </x14:dataBar>
          </x14:cfRule>
          <xm:sqref>G16:G28 G145:G154</xm:sqref>
        </x14:conditionalFormatting>
        <x14:conditionalFormatting xmlns:xm="http://schemas.microsoft.com/office/excel/2006/main">
          <x14:cfRule type="dataBar" id="{020178C8-602D-4071-B8BA-0035C25BC2DD}">
            <x14:dataBar minLength="0" maxLength="100" gradient="0" direction="leftToRight">
              <x14:cfvo type="num">
                <xm:f>-100</xm:f>
              </x14:cfvo>
              <x14:cfvo type="num">
                <xm:f>200</xm:f>
              </x14:cfvo>
              <x14:negativeFillColor theme="5"/>
              <x14:axisColor theme="1"/>
            </x14:dataBar>
          </x14:cfRule>
          <xm:sqref>G34:G41</xm:sqref>
        </x14:conditionalFormatting>
        <x14:conditionalFormatting xmlns:xm="http://schemas.microsoft.com/office/excel/2006/main">
          <x14:cfRule type="dataBar" id="{EFBAFD71-C4CB-4004-A400-EB8062FA795C}">
            <x14:dataBar minLength="0" maxLength="100" gradient="0" direction="leftToRight">
              <x14:cfvo type="num">
                <xm:f>-100</xm:f>
              </x14:cfvo>
              <x14:cfvo type="num">
                <xm:f>200</xm:f>
              </x14:cfvo>
              <x14:negativeFillColor theme="5"/>
              <x14:axisColor theme="1"/>
            </x14:dataBar>
          </x14:cfRule>
          <xm:sqref>G47:G50</xm:sqref>
        </x14:conditionalFormatting>
        <x14:conditionalFormatting xmlns:xm="http://schemas.microsoft.com/office/excel/2006/main">
          <x14:cfRule type="dataBar" id="{EBF1A8D5-8176-4CE8-AED7-CF376599EE9C}">
            <x14:dataBar minLength="0" maxLength="100" gradient="0" direction="leftToRight">
              <x14:cfvo type="num">
                <xm:f>-100</xm:f>
              </x14:cfvo>
              <x14:cfvo type="num">
                <xm:f>200</xm:f>
              </x14:cfvo>
              <x14:negativeFillColor theme="5"/>
              <x14:axisColor theme="1"/>
            </x14:dataBar>
          </x14:cfRule>
          <xm:sqref>G56:G88</xm:sqref>
        </x14:conditionalFormatting>
        <x14:conditionalFormatting xmlns:xm="http://schemas.microsoft.com/office/excel/2006/main">
          <x14:cfRule type="dataBar" id="{EDB9624E-85CC-4902-9FB8-7B258A5096AF}">
            <x14:dataBar minLength="0" maxLength="100" gradient="0" direction="leftToRight">
              <x14:cfvo type="num">
                <xm:f>-100</xm:f>
              </x14:cfvo>
              <x14:cfvo type="num">
                <xm:f>200</xm:f>
              </x14:cfvo>
              <x14:negativeFillColor theme="5"/>
              <x14:axisColor theme="1"/>
            </x14:dataBar>
          </x14:cfRule>
          <xm:sqref>G94:G137</xm:sqref>
        </x14:conditionalFormatting>
        <x14:conditionalFormatting xmlns:xm="http://schemas.microsoft.com/office/excel/2006/main">
          <x14:cfRule type="dataBar" id="{494AEDCB-65B2-448E-A8B9-3B76B284FA89}">
            <x14:dataBar minLength="0" maxLength="100" gradient="0" direction="leftToRight">
              <x14:cfvo type="num">
                <xm:f>-100</xm:f>
              </x14:cfvo>
              <x14:cfvo type="num">
                <xm:f>200</xm:f>
              </x14:cfvo>
              <x14:negativeFillColor theme="5"/>
              <x14:axisColor theme="1"/>
            </x14:dataBar>
          </x14:cfRule>
          <xm:sqref>G160:G170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4.9989318521683403E-2"/>
  </sheetPr>
  <dimension ref="A1:F5"/>
  <sheetViews>
    <sheetView zoomScaleNormal="100" workbookViewId="0">
      <selection sqref="A1:D3"/>
    </sheetView>
  </sheetViews>
  <sheetFormatPr defaultColWidth="14.26953125" defaultRowHeight="15" customHeight="1" x14ac:dyDescent="0.3"/>
  <cols>
    <col min="1" max="1" width="14.26953125" style="26" customWidth="1"/>
    <col min="2" max="16384" width="14.26953125" style="26"/>
  </cols>
  <sheetData>
    <row r="1" spans="1:6" ht="15" customHeight="1" x14ac:dyDescent="0.3">
      <c r="A1" s="296" t="s">
        <v>121</v>
      </c>
      <c r="B1" s="296"/>
      <c r="C1" s="296"/>
      <c r="D1" s="296"/>
      <c r="E1" s="25"/>
      <c r="F1" s="25"/>
    </row>
    <row r="2" spans="1:6" ht="20.25" customHeight="1" x14ac:dyDescent="0.3">
      <c r="A2" s="296"/>
      <c r="B2" s="296"/>
      <c r="C2" s="296"/>
      <c r="D2" s="296"/>
      <c r="E2" s="25"/>
      <c r="F2" s="25"/>
    </row>
    <row r="3" spans="1:6" ht="15" customHeight="1" x14ac:dyDescent="0.3">
      <c r="A3" s="296"/>
      <c r="B3" s="296"/>
      <c r="C3" s="296"/>
      <c r="D3" s="296"/>
      <c r="E3" s="25"/>
      <c r="F3" s="25"/>
    </row>
    <row r="4" spans="1:6" ht="93" customHeight="1" x14ac:dyDescent="0.3">
      <c r="A4" s="297" t="s">
        <v>122</v>
      </c>
      <c r="B4" s="297"/>
      <c r="C4" s="297"/>
      <c r="D4" s="297"/>
      <c r="E4" s="297"/>
      <c r="F4" s="297"/>
    </row>
    <row r="5" spans="1:6" ht="15" customHeight="1" x14ac:dyDescent="0.3">
      <c r="B5" s="24"/>
    </row>
  </sheetData>
  <mergeCells count="2">
    <mergeCell ref="A1:D3"/>
    <mergeCell ref="A4:F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E357F-4929-4454-9906-D4CDD2690C43}">
  <sheetPr>
    <tabColor theme="1"/>
  </sheetPr>
  <dimension ref="A1:AB484"/>
  <sheetViews>
    <sheetView workbookViewId="0"/>
  </sheetViews>
  <sheetFormatPr defaultColWidth="9.1796875" defaultRowHeight="13.5" x14ac:dyDescent="0.35"/>
  <cols>
    <col min="1" max="1" width="9.1796875" style="1"/>
    <col min="2" max="2" width="9.453125" style="1" bestFit="1" customWidth="1"/>
    <col min="3" max="16384" width="9.1796875" style="1"/>
  </cols>
  <sheetData>
    <row r="1" spans="1:20" x14ac:dyDescent="0.35">
      <c r="A1" s="193" t="s">
        <v>855</v>
      </c>
      <c r="B1" s="109"/>
      <c r="C1" s="109"/>
      <c r="D1" s="109"/>
      <c r="E1" s="109"/>
      <c r="F1" s="109"/>
      <c r="G1" s="109"/>
      <c r="H1" s="109"/>
      <c r="I1" s="109"/>
      <c r="J1" s="109"/>
      <c r="K1" s="109"/>
      <c r="L1" s="109"/>
      <c r="M1" s="109"/>
      <c r="N1" s="109"/>
      <c r="O1" s="109"/>
      <c r="P1" s="109"/>
      <c r="Q1" s="109"/>
      <c r="R1" s="109"/>
      <c r="S1" s="109"/>
    </row>
    <row r="2" spans="1:20" x14ac:dyDescent="0.35">
      <c r="A2" s="194" t="s">
        <v>827</v>
      </c>
      <c r="B2" s="151" t="s">
        <v>369</v>
      </c>
      <c r="C2" s="109"/>
      <c r="D2" s="109"/>
      <c r="E2" s="109"/>
      <c r="F2" s="109"/>
      <c r="G2" s="109"/>
      <c r="H2" s="109"/>
      <c r="I2" s="109"/>
      <c r="J2" s="109"/>
      <c r="K2" s="109"/>
      <c r="L2" s="109"/>
      <c r="M2" s="109"/>
      <c r="N2" s="109"/>
      <c r="O2" s="109"/>
      <c r="P2" s="109"/>
      <c r="Q2" s="109"/>
      <c r="R2" s="109"/>
      <c r="S2" s="109"/>
    </row>
    <row r="3" spans="1:20" x14ac:dyDescent="0.35">
      <c r="A3" s="151" t="s">
        <v>370</v>
      </c>
      <c r="B3" s="109" t="s">
        <v>351</v>
      </c>
      <c r="C3" s="109" t="s">
        <v>352</v>
      </c>
      <c r="D3" s="109" t="s">
        <v>353</v>
      </c>
      <c r="E3" s="109" t="s">
        <v>354</v>
      </c>
      <c r="F3" s="109" t="s">
        <v>355</v>
      </c>
      <c r="G3" s="109" t="s">
        <v>356</v>
      </c>
      <c r="H3" s="109" t="s">
        <v>357</v>
      </c>
      <c r="I3" s="109" t="s">
        <v>356</v>
      </c>
      <c r="J3" s="109" t="s">
        <v>358</v>
      </c>
      <c r="K3" s="109" t="s">
        <v>359</v>
      </c>
      <c r="L3" s="109" t="s">
        <v>360</v>
      </c>
      <c r="M3" s="109" t="s">
        <v>361</v>
      </c>
      <c r="N3" s="109" t="s">
        <v>362</v>
      </c>
      <c r="O3" s="109" t="s">
        <v>363</v>
      </c>
      <c r="P3" s="109" t="s">
        <v>364</v>
      </c>
      <c r="Q3" s="109" t="s">
        <v>365</v>
      </c>
      <c r="R3" s="109" t="s">
        <v>366</v>
      </c>
      <c r="S3" s="109" t="s">
        <v>98</v>
      </c>
    </row>
    <row r="4" spans="1:20" x14ac:dyDescent="0.35">
      <c r="A4" s="195" t="s">
        <v>334</v>
      </c>
      <c r="B4" s="196">
        <f>SUM('Census demographics'!$C$22:$C22)-SUM('Census demographics'!$E$22:$E22)</f>
        <v>-4.6347927641744308E-3</v>
      </c>
      <c r="C4" s="196"/>
      <c r="D4" s="169"/>
      <c r="E4" s="169"/>
      <c r="F4" s="169"/>
      <c r="G4" s="169"/>
      <c r="H4" s="169"/>
      <c r="I4" s="169"/>
      <c r="J4" s="169"/>
      <c r="K4" s="169"/>
      <c r="L4" s="169"/>
      <c r="M4" s="169"/>
      <c r="N4" s="169"/>
      <c r="O4" s="169"/>
      <c r="P4" s="169"/>
      <c r="Q4" s="169"/>
      <c r="R4" s="169"/>
      <c r="S4" s="169"/>
    </row>
    <row r="5" spans="1:20" x14ac:dyDescent="0.35">
      <c r="A5" s="195" t="s">
        <v>335</v>
      </c>
      <c r="B5" s="196">
        <f>SUM('Census demographics'!$C$22:$C23)-SUM('Census demographics'!$E$22:$E23)</f>
        <v>-1.1404725647557956E-2</v>
      </c>
      <c r="C5" s="196">
        <f>SUM('Census demographics'!$C$23:$C23)-SUM('Census demographics'!$E$23:$E23)</f>
        <v>-6.7699328833835254E-3</v>
      </c>
      <c r="D5" s="169"/>
      <c r="E5" s="169"/>
      <c r="F5" s="169"/>
      <c r="G5" s="169"/>
      <c r="H5" s="169"/>
      <c r="I5" s="169"/>
      <c r="J5" s="169"/>
      <c r="K5" s="169"/>
      <c r="L5" s="169"/>
      <c r="M5" s="169"/>
      <c r="N5" s="169"/>
      <c r="O5" s="169"/>
      <c r="P5" s="169"/>
      <c r="Q5" s="169"/>
      <c r="R5" s="169"/>
      <c r="S5" s="169"/>
      <c r="T5" s="197"/>
    </row>
    <row r="6" spans="1:20" x14ac:dyDescent="0.35">
      <c r="A6" s="195" t="s">
        <v>336</v>
      </c>
      <c r="B6" s="196">
        <f>SUM('Census demographics'!$C$22:$C24)-SUM('Census demographics'!$E$22:$E24)</f>
        <v>-1.8920223405814812E-2</v>
      </c>
      <c r="C6" s="196">
        <f>SUM('Census demographics'!$C$23:$C24)-SUM('Census demographics'!$E$23:$E24)</f>
        <v>-1.4285430641640395E-2</v>
      </c>
      <c r="D6" s="196">
        <f>SUM('Census demographics'!$C$24:$C24)-SUM('Census demographics'!$E$24:$E24)</f>
        <v>-7.5154977582568699E-3</v>
      </c>
      <c r="E6" s="169"/>
      <c r="F6" s="169"/>
      <c r="G6" s="169"/>
      <c r="H6" s="169"/>
      <c r="I6" s="169"/>
      <c r="J6" s="169"/>
      <c r="K6" s="169"/>
      <c r="L6" s="169"/>
      <c r="M6" s="169"/>
      <c r="N6" s="169"/>
      <c r="O6" s="169"/>
      <c r="P6" s="169"/>
      <c r="Q6" s="169"/>
      <c r="R6" s="169"/>
      <c r="S6" s="169"/>
      <c r="T6" s="197"/>
    </row>
    <row r="7" spans="1:20" x14ac:dyDescent="0.35">
      <c r="A7" s="195" t="s">
        <v>337</v>
      </c>
      <c r="B7" s="196">
        <f>SUM('Census demographics'!$C$22:$C25)-SUM('Census demographics'!$E$22:$E25)</f>
        <v>4.215317834993626E-3</v>
      </c>
      <c r="C7" s="196">
        <f>SUM('Census demographics'!$C$23:$C25)-SUM('Census demographics'!$E$23:$E25)</f>
        <v>8.8501105991680429E-3</v>
      </c>
      <c r="D7" s="196">
        <f>SUM('Census demographics'!$C$24:$C25)-SUM('Census demographics'!$E$24:$E25)</f>
        <v>1.5620043482551582E-2</v>
      </c>
      <c r="E7" s="196">
        <f>SUM('Census demographics'!$C$25:$C25)-SUM('Census demographics'!$E$25:$E25)</f>
        <v>2.3135541240808445E-2</v>
      </c>
      <c r="F7" s="169"/>
      <c r="G7" s="169"/>
      <c r="H7" s="169"/>
      <c r="I7" s="169"/>
      <c r="J7" s="169"/>
      <c r="K7" s="169"/>
      <c r="L7" s="169"/>
      <c r="M7" s="169"/>
      <c r="N7" s="169"/>
      <c r="O7" s="169"/>
      <c r="P7" s="169"/>
      <c r="Q7" s="169"/>
      <c r="R7" s="169"/>
      <c r="S7" s="169"/>
      <c r="T7" s="197"/>
    </row>
    <row r="8" spans="1:20" x14ac:dyDescent="0.35">
      <c r="A8" s="195" t="s">
        <v>338</v>
      </c>
      <c r="B8" s="196">
        <f>SUM('Census demographics'!$C$22:$C26)-SUM('Census demographics'!$E$22:$E26)</f>
        <v>7.5371856154182959E-2</v>
      </c>
      <c r="C8" s="196">
        <f>SUM('Census demographics'!$C$23:$C26)-SUM('Census demographics'!$E$23:$E26)</f>
        <v>8.0006648918357404E-2</v>
      </c>
      <c r="D8" s="196">
        <f>SUM('Census demographics'!$C$24:$C26)-SUM('Census demographics'!$E$24:$E26)</f>
        <v>8.6776581801740915E-2</v>
      </c>
      <c r="E8" s="196">
        <f>SUM('Census demographics'!$C$25:$C26)-SUM('Census demographics'!$E$25:$E26)</f>
        <v>9.4292079559997799E-2</v>
      </c>
      <c r="F8" s="196">
        <f>SUM('Census demographics'!$C$26:$C26)-SUM('Census demographics'!$E$26:$E26)</f>
        <v>7.1156538319189347E-2</v>
      </c>
      <c r="G8" s="169"/>
      <c r="H8" s="169"/>
      <c r="I8" s="169"/>
      <c r="J8" s="169"/>
      <c r="K8" s="169"/>
      <c r="L8" s="169"/>
      <c r="M8" s="169"/>
      <c r="N8" s="169"/>
      <c r="O8" s="169"/>
      <c r="P8" s="169"/>
      <c r="Q8" s="169"/>
      <c r="R8" s="169"/>
      <c r="S8" s="169"/>
    </row>
    <row r="9" spans="1:20" x14ac:dyDescent="0.35">
      <c r="A9" s="195" t="s">
        <v>339</v>
      </c>
      <c r="B9" s="196">
        <f>SUM('Census demographics'!$C$22:$C27)-SUM('Census demographics'!$E$22:$E27)</f>
        <v>0.10244057940690054</v>
      </c>
      <c r="C9" s="196">
        <f>SUM('Census demographics'!$C$23:$C27)-SUM('Census demographics'!$E$23:$E27)</f>
        <v>0.10707537217107499</v>
      </c>
      <c r="D9" s="196">
        <f>SUM('Census demographics'!$C$24:$C27)-SUM('Census demographics'!$E$24:$E27)</f>
        <v>0.1138453050544585</v>
      </c>
      <c r="E9" s="196">
        <f>SUM('Census demographics'!$C$25:$C27)-SUM('Census demographics'!$E$25:$E27)</f>
        <v>0.12136080281271538</v>
      </c>
      <c r="F9" s="196">
        <f>SUM('Census demographics'!$C$26:$C27)-SUM('Census demographics'!$E$26:$E27)</f>
        <v>9.8225261571906947E-2</v>
      </c>
      <c r="G9" s="196">
        <f>SUM('Census demographics'!$C$27:$C27)-SUM('Census demographics'!$E$27:$E27)</f>
        <v>2.7068723252717614E-2</v>
      </c>
      <c r="H9" s="169"/>
      <c r="I9" s="169"/>
      <c r="J9" s="169"/>
      <c r="K9" s="169"/>
      <c r="L9" s="169"/>
      <c r="M9" s="169"/>
      <c r="N9" s="169"/>
      <c r="O9" s="169"/>
      <c r="P9" s="169"/>
      <c r="Q9" s="169"/>
      <c r="R9" s="169"/>
      <c r="S9" s="169"/>
    </row>
    <row r="10" spans="1:20" x14ac:dyDescent="0.35">
      <c r="A10" s="195" t="s">
        <v>340</v>
      </c>
      <c r="B10" s="196">
        <f>SUM('Census demographics'!$C$22:$C28)-SUM('Census demographics'!$E$22:$E28)</f>
        <v>0.1121629618824872</v>
      </c>
      <c r="C10" s="196">
        <f>SUM('Census demographics'!$C$23:$C28)-SUM('Census demographics'!$E$23:$E28)</f>
        <v>0.1167977546466617</v>
      </c>
      <c r="D10" s="196">
        <f>SUM('Census demographics'!$C$24:$C28)-SUM('Census demographics'!$E$24:$E28)</f>
        <v>0.12356768753004521</v>
      </c>
      <c r="E10" s="196">
        <f>SUM('Census demographics'!$C$25:$C28)-SUM('Census demographics'!$E$25:$E28)</f>
        <v>0.1310831852883021</v>
      </c>
      <c r="F10" s="196">
        <f>SUM('Census demographics'!$C$26:$C28)-SUM('Census demographics'!$E$26:$E28)</f>
        <v>0.10794764404749363</v>
      </c>
      <c r="G10" s="196">
        <f>SUM('Census demographics'!$C$27:$C28)-SUM('Census demographics'!$E$27:$E28)</f>
        <v>3.6791105728304296E-2</v>
      </c>
      <c r="H10" s="196">
        <f>SUM('Census demographics'!$C$28:$C28)-SUM('Census demographics'!$E$28:$E28)</f>
        <v>9.7223824755866828E-3</v>
      </c>
      <c r="I10" s="169"/>
      <c r="J10" s="169"/>
      <c r="K10" s="169"/>
      <c r="L10" s="169"/>
      <c r="M10" s="169"/>
      <c r="N10" s="169"/>
      <c r="O10" s="169"/>
      <c r="P10" s="169"/>
      <c r="Q10" s="169"/>
      <c r="R10" s="169"/>
      <c r="S10" s="169"/>
    </row>
    <row r="11" spans="1:20" x14ac:dyDescent="0.35">
      <c r="A11" s="195" t="s">
        <v>341</v>
      </c>
      <c r="B11" s="196">
        <f>SUM('Census demographics'!$C$22:$C29)-SUM('Census demographics'!$E$22:$E29)</f>
        <v>0.1154521578150759</v>
      </c>
      <c r="C11" s="196">
        <f>SUM('Census demographics'!$C$23:$C29)-SUM('Census demographics'!$E$23:$E29)</f>
        <v>0.12008695057925056</v>
      </c>
      <c r="D11" s="196">
        <f>SUM('Census demographics'!$C$24:$C29)-SUM('Census demographics'!$E$24:$E29)</f>
        <v>0.12685688346263391</v>
      </c>
      <c r="E11" s="196">
        <f>SUM('Census demographics'!$C$25:$C29)-SUM('Census demographics'!$E$25:$E29)</f>
        <v>0.13437238122089085</v>
      </c>
      <c r="F11" s="196">
        <f>SUM('Census demographics'!$C$26:$C29)-SUM('Census demographics'!$E$26:$E29)</f>
        <v>0.11123683998008244</v>
      </c>
      <c r="G11" s="196">
        <f>SUM('Census demographics'!$C$27:$C29)-SUM('Census demographics'!$E$27:$E29)</f>
        <v>4.0080301660893075E-2</v>
      </c>
      <c r="H11" s="196">
        <f>SUM('Census demographics'!$C$28:$C29)-SUM('Census demographics'!$E$28:$E29)</f>
        <v>1.3011578408175462E-2</v>
      </c>
      <c r="I11" s="196">
        <f>SUM('Census demographics'!$C$29:$C29)-SUM('Census demographics'!$E$29:$E29)</f>
        <v>3.2891959325887787E-3</v>
      </c>
      <c r="J11" s="169"/>
      <c r="K11" s="169"/>
      <c r="L11" s="169"/>
      <c r="M11" s="169"/>
      <c r="N11" s="169"/>
      <c r="O11" s="169"/>
      <c r="P11" s="169"/>
      <c r="Q11" s="169"/>
      <c r="R11" s="169"/>
      <c r="S11" s="169"/>
    </row>
    <row r="12" spans="1:20" x14ac:dyDescent="0.35">
      <c r="A12" s="195" t="s">
        <v>342</v>
      </c>
      <c r="B12" s="196">
        <f>SUM('Census demographics'!$C$22:$C30)-SUM('Census demographics'!$E$22:$E30)</f>
        <v>0.11423629648902767</v>
      </c>
      <c r="C12" s="196">
        <f>SUM('Census demographics'!$C$23:$C30)-SUM('Census demographics'!$E$23:$E30)</f>
        <v>0.11887108925320233</v>
      </c>
      <c r="D12" s="196">
        <f>SUM('Census demographics'!$C$24:$C30)-SUM('Census demographics'!$E$24:$E30)</f>
        <v>0.12564102213658568</v>
      </c>
      <c r="E12" s="196">
        <f>SUM('Census demographics'!$C$25:$C30)-SUM('Census demographics'!$E$25:$E30)</f>
        <v>0.13315651989484256</v>
      </c>
      <c r="F12" s="196">
        <f>SUM('Census demographics'!$C$26:$C30)-SUM('Census demographics'!$E$26:$E30)</f>
        <v>0.11002097865403415</v>
      </c>
      <c r="G12" s="196">
        <f>SUM('Census demographics'!$C$27:$C30)-SUM('Census demographics'!$E$27:$E30)</f>
        <v>3.8864440334844763E-2</v>
      </c>
      <c r="H12" s="196">
        <f>SUM('Census demographics'!$C$28:$C30)-SUM('Census demographics'!$E$28:$E30)</f>
        <v>1.1795717082127177E-2</v>
      </c>
      <c r="I12" s="196">
        <f>SUM('Census demographics'!$C$29:$C30)-SUM('Census demographics'!$E$29:$E30)</f>
        <v>2.0733346065404945E-3</v>
      </c>
      <c r="J12" s="196">
        <f>SUM('Census demographics'!$C$30:$C30)-SUM('Census demographics'!$E$30:$E30)</f>
        <v>-1.2158613260482773E-3</v>
      </c>
      <c r="K12" s="169"/>
      <c r="L12" s="169"/>
      <c r="M12" s="169"/>
      <c r="N12" s="169"/>
      <c r="O12" s="169"/>
      <c r="P12" s="169"/>
      <c r="Q12" s="169"/>
      <c r="R12" s="169"/>
      <c r="S12" s="169"/>
    </row>
    <row r="13" spans="1:20" x14ac:dyDescent="0.35">
      <c r="A13" s="195" t="s">
        <v>343</v>
      </c>
      <c r="B13" s="196">
        <f>SUM('Census demographics'!$C$22:$C31)-SUM('Census demographics'!$E$22:$E31)</f>
        <v>0.10637506285259679</v>
      </c>
      <c r="C13" s="196">
        <f>SUM('Census demographics'!$C$23:$C31)-SUM('Census demographics'!$E$23:$E31)</f>
        <v>0.11100985561677146</v>
      </c>
      <c r="D13" s="196">
        <f>SUM('Census demographics'!$C$24:$C31)-SUM('Census demographics'!$E$24:$E31)</f>
        <v>0.1177797885001548</v>
      </c>
      <c r="E13" s="196">
        <f>SUM('Census demographics'!$C$25:$C31)-SUM('Census demographics'!$E$25:$E31)</f>
        <v>0.12529528625841163</v>
      </c>
      <c r="F13" s="196">
        <f>SUM('Census demographics'!$C$26:$C31)-SUM('Census demographics'!$E$26:$E31)</f>
        <v>0.10215974501760322</v>
      </c>
      <c r="G13" s="196">
        <f>SUM('Census demographics'!$C$27:$C31)-SUM('Census demographics'!$E$27:$E31)</f>
        <v>3.1003206698413832E-2</v>
      </c>
      <c r="H13" s="196">
        <f>SUM('Census demographics'!$C$28:$C31)-SUM('Census demographics'!$E$28:$E31)</f>
        <v>3.9344834456962463E-3</v>
      </c>
      <c r="I13" s="196">
        <f>SUM('Census demographics'!$C$29:$C31)-SUM('Census demographics'!$E$29:$E31)</f>
        <v>-5.7878990298904087E-3</v>
      </c>
      <c r="J13" s="196">
        <f>SUM('Census demographics'!$C$30:$C31)-SUM('Census demographics'!$E$30:$E31)</f>
        <v>-9.0770949624792013E-3</v>
      </c>
      <c r="K13" s="196">
        <f>SUM('Census demographics'!$C$31:$C31)-SUM('Census demographics'!$E$31:$E31)</f>
        <v>-7.861233636430924E-3</v>
      </c>
      <c r="L13" s="169"/>
      <c r="M13" s="169"/>
      <c r="N13" s="169"/>
      <c r="O13" s="169"/>
      <c r="P13" s="169"/>
      <c r="Q13" s="169"/>
      <c r="R13" s="169"/>
      <c r="S13" s="169"/>
    </row>
    <row r="14" spans="1:20" x14ac:dyDescent="0.35">
      <c r="A14" s="195" t="s">
        <v>344</v>
      </c>
      <c r="B14" s="196">
        <f>SUM('Census demographics'!$C$22:$C32)-SUM('Census demographics'!$E$22:$E32)</f>
        <v>9.1795704623765295E-2</v>
      </c>
      <c r="C14" s="196">
        <f>SUM('Census demographics'!$C$23:$C32)-SUM('Census demographics'!$E$23:$E32)</f>
        <v>9.6430497387939962E-2</v>
      </c>
      <c r="D14" s="196">
        <f>SUM('Census demographics'!$C$24:$C32)-SUM('Census demographics'!$E$24:$E32)</f>
        <v>0.10320043027132331</v>
      </c>
      <c r="E14" s="196">
        <f>SUM('Census demographics'!$C$25:$C32)-SUM('Census demographics'!$E$25:$E32)</f>
        <v>0.11071592802958008</v>
      </c>
      <c r="F14" s="196">
        <f>SUM('Census demographics'!$C$26:$C32)-SUM('Census demographics'!$E$26:$E32)</f>
        <v>8.7580386788771725E-2</v>
      </c>
      <c r="G14" s="196">
        <f>SUM('Census demographics'!$C$27:$C32)-SUM('Census demographics'!$E$27:$E32)</f>
        <v>1.6423848469582281E-2</v>
      </c>
      <c r="H14" s="196">
        <f>SUM('Census demographics'!$C$28:$C32)-SUM('Census demographics'!$E$28:$E32)</f>
        <v>-1.0644874783135305E-2</v>
      </c>
      <c r="I14" s="196">
        <f>SUM('Census demographics'!$C$29:$C32)-SUM('Census demographics'!$E$29:$E32)</f>
        <v>-2.036725725872196E-2</v>
      </c>
      <c r="J14" s="196">
        <f>SUM('Census demographics'!$C$30:$C32)-SUM('Census demographics'!$E$30:$E32)</f>
        <v>-2.3656453191310767E-2</v>
      </c>
      <c r="K14" s="196">
        <f>SUM('Census demographics'!$C$31:$C32)-SUM('Census demographics'!$E$31:$E32)</f>
        <v>-2.2440591865262483E-2</v>
      </c>
      <c r="L14" s="196">
        <f>SUM('Census demographics'!$C$32:$C32)-SUM('Census demographics'!$E$32:$E32)</f>
        <v>-1.4579358228831552E-2</v>
      </c>
      <c r="M14" s="169"/>
      <c r="N14" s="169"/>
      <c r="O14" s="169"/>
      <c r="P14" s="169"/>
      <c r="Q14" s="169"/>
      <c r="R14" s="169"/>
      <c r="S14" s="169"/>
    </row>
    <row r="15" spans="1:20" x14ac:dyDescent="0.35">
      <c r="A15" s="195" t="s">
        <v>345</v>
      </c>
      <c r="B15" s="196">
        <f>SUM('Census demographics'!$C$22:$C33)-SUM('Census demographics'!$E$22:$E33)</f>
        <v>7.4409223124867863E-2</v>
      </c>
      <c r="C15" s="196">
        <f>SUM('Census demographics'!$C$23:$C33)-SUM('Census demographics'!$E$23:$E33)</f>
        <v>7.9044015889042529E-2</v>
      </c>
      <c r="D15" s="196">
        <f>SUM('Census demographics'!$C$24:$C33)-SUM('Census demographics'!$E$24:$E33)</f>
        <v>8.5813948772425874E-2</v>
      </c>
      <c r="E15" s="196">
        <f>SUM('Census demographics'!$C$25:$C33)-SUM('Census demographics'!$E$25:$E33)</f>
        <v>9.3329446530682647E-2</v>
      </c>
      <c r="F15" s="196">
        <f>SUM('Census demographics'!$C$26:$C33)-SUM('Census demographics'!$E$26:$E33)</f>
        <v>7.0193905289874348E-2</v>
      </c>
      <c r="G15" s="196">
        <f>SUM('Census demographics'!$C$27:$C33)-SUM('Census demographics'!$E$27:$E33)</f>
        <v>-9.6263302931504091E-4</v>
      </c>
      <c r="H15" s="196">
        <f>SUM('Census demographics'!$C$28:$C33)-SUM('Census demographics'!$E$28:$E33)</f>
        <v>-2.8031356282032627E-2</v>
      </c>
      <c r="I15" s="196">
        <f>SUM('Census demographics'!$C$29:$C33)-SUM('Census demographics'!$E$29:$E33)</f>
        <v>-3.7753738757619282E-2</v>
      </c>
      <c r="J15" s="196">
        <f>SUM('Census demographics'!$C$30:$C33)-SUM('Census demographics'!$E$30:$E33)</f>
        <v>-4.1042934690208116E-2</v>
      </c>
      <c r="K15" s="196">
        <f>SUM('Census demographics'!$C$31:$C33)-SUM('Census demographics'!$E$31:$E33)</f>
        <v>-3.9827073364159832E-2</v>
      </c>
      <c r="L15" s="196">
        <f>SUM('Census demographics'!$C$32:$C33)-SUM('Census demographics'!$E$32:$E33)</f>
        <v>-3.1965839727728901E-2</v>
      </c>
      <c r="M15" s="196">
        <f>SUM('Census demographics'!$C$33:$C33)-SUM('Census demographics'!$E$33:$E33)</f>
        <v>-1.7386481498897356E-2</v>
      </c>
      <c r="N15" s="169"/>
      <c r="O15" s="169"/>
      <c r="P15" s="169"/>
      <c r="Q15" s="169"/>
      <c r="R15" s="169"/>
      <c r="S15" s="169"/>
    </row>
    <row r="16" spans="1:20" x14ac:dyDescent="0.35">
      <c r="A16" s="195" t="s">
        <v>346</v>
      </c>
      <c r="B16" s="196">
        <f>SUM('Census demographics'!$C$22:$C34)-SUM('Census demographics'!$E$22:$E34)</f>
        <v>5.8798780753665292E-2</v>
      </c>
      <c r="C16" s="196">
        <f>SUM('Census demographics'!$C$23:$C34)-SUM('Census demographics'!$E$23:$E34)</f>
        <v>6.3433573517839958E-2</v>
      </c>
      <c r="D16" s="196">
        <f>SUM('Census demographics'!$C$24:$C34)-SUM('Census demographics'!$E$24:$E34)</f>
        <v>7.0203506401223303E-2</v>
      </c>
      <c r="E16" s="196">
        <f>SUM('Census demographics'!$C$25:$C34)-SUM('Census demographics'!$E$25:$E34)</f>
        <v>7.7719004159480076E-2</v>
      </c>
      <c r="F16" s="196">
        <f>SUM('Census demographics'!$C$26:$C34)-SUM('Census demographics'!$E$26:$E34)</f>
        <v>5.4583462918671777E-2</v>
      </c>
      <c r="G16" s="196">
        <f>SUM('Census demographics'!$C$27:$C34)-SUM('Census demographics'!$E$27:$E34)</f>
        <v>-1.6573075400517667E-2</v>
      </c>
      <c r="H16" s="196">
        <f>SUM('Census demographics'!$C$28:$C34)-SUM('Census demographics'!$E$28:$E34)</f>
        <v>-4.3641798653235309E-2</v>
      </c>
      <c r="I16" s="196">
        <f>SUM('Census demographics'!$C$29:$C34)-SUM('Census demographics'!$E$29:$E34)</f>
        <v>-5.3364181128821964E-2</v>
      </c>
      <c r="J16" s="196">
        <f>SUM('Census demographics'!$C$30:$C34)-SUM('Census demographics'!$E$30:$E34)</f>
        <v>-5.665337706141077E-2</v>
      </c>
      <c r="K16" s="196">
        <f>SUM('Census demographics'!$C$31:$C34)-SUM('Census demographics'!$E$31:$E34)</f>
        <v>-5.5437515735362486E-2</v>
      </c>
      <c r="L16" s="196">
        <f>SUM('Census demographics'!$C$32:$C34)-SUM('Census demographics'!$E$32:$E34)</f>
        <v>-4.7576282098931583E-2</v>
      </c>
      <c r="M16" s="196">
        <f>SUM('Census demographics'!$C$33:$C34)-SUM('Census demographics'!$E$33:$E34)</f>
        <v>-3.2996923870100003E-2</v>
      </c>
      <c r="N16" s="196">
        <f>SUM('Census demographics'!$C$34:$C34)-SUM('Census demographics'!$E$34:$E34)</f>
        <v>-1.5610442371202661E-2</v>
      </c>
      <c r="O16" s="169"/>
      <c r="P16" s="169"/>
      <c r="Q16" s="169"/>
      <c r="R16" s="169"/>
      <c r="S16" s="169"/>
    </row>
    <row r="17" spans="1:20" x14ac:dyDescent="0.35">
      <c r="A17" s="195" t="s">
        <v>347</v>
      </c>
      <c r="B17" s="196">
        <f>SUM('Census demographics'!$C$22:$C35)-SUM('Census demographics'!$E$22:$E35)</f>
        <v>4.3039041620975049E-2</v>
      </c>
      <c r="C17" s="196">
        <f>SUM('Census demographics'!$C$23:$C35)-SUM('Census demographics'!$E$23:$E35)</f>
        <v>4.7673834385149716E-2</v>
      </c>
      <c r="D17" s="196">
        <f>SUM('Census demographics'!$C$24:$C35)-SUM('Census demographics'!$E$24:$E35)</f>
        <v>5.4443767268533061E-2</v>
      </c>
      <c r="E17" s="196">
        <f>SUM('Census demographics'!$C$25:$C35)-SUM('Census demographics'!$E$25:$E35)</f>
        <v>6.1959265026789834E-2</v>
      </c>
      <c r="F17" s="196">
        <f>SUM('Census demographics'!$C$26:$C35)-SUM('Census demographics'!$E$26:$E35)</f>
        <v>3.8823723785981534E-2</v>
      </c>
      <c r="G17" s="196">
        <f>SUM('Census demographics'!$C$27:$C35)-SUM('Census demographics'!$E$27:$E35)</f>
        <v>-3.233281453320791E-2</v>
      </c>
      <c r="H17" s="196">
        <f>SUM('Census demographics'!$C$28:$C35)-SUM('Census demographics'!$E$28:$E35)</f>
        <v>-5.9401537785925607E-2</v>
      </c>
      <c r="I17" s="196">
        <f>SUM('Census demographics'!$C$29:$C35)-SUM('Census demographics'!$E$29:$E35)</f>
        <v>-6.9123920261512262E-2</v>
      </c>
      <c r="J17" s="196">
        <f>SUM('Census demographics'!$C$30:$C35)-SUM('Census demographics'!$E$30:$E35)</f>
        <v>-7.2413116194101068E-2</v>
      </c>
      <c r="K17" s="196">
        <f>SUM('Census demographics'!$C$31:$C35)-SUM('Census demographics'!$E$31:$E35)</f>
        <v>-7.1197254868052784E-2</v>
      </c>
      <c r="L17" s="196">
        <f>SUM('Census demographics'!$C$32:$C35)-SUM('Census demographics'!$E$32:$E35)</f>
        <v>-6.3336021231621881E-2</v>
      </c>
      <c r="M17" s="196">
        <f>SUM('Census demographics'!$C$33:$C35)-SUM('Census demographics'!$E$33:$E35)</f>
        <v>-4.8756663002790301E-2</v>
      </c>
      <c r="N17" s="196">
        <f>SUM('Census demographics'!$C$34:$C35)-SUM('Census demographics'!$E$34:$E35)</f>
        <v>-3.1370181503892966E-2</v>
      </c>
      <c r="O17" s="196">
        <f>SUM('Census demographics'!$C$35:$C35)-SUM('Census demographics'!$E$35:$E35)</f>
        <v>-1.5759739132690305E-2</v>
      </c>
      <c r="P17" s="169"/>
      <c r="Q17" s="169"/>
      <c r="R17" s="169"/>
      <c r="S17" s="169"/>
    </row>
    <row r="18" spans="1:20" x14ac:dyDescent="0.35">
      <c r="A18" s="195" t="s">
        <v>348</v>
      </c>
      <c r="B18" s="196">
        <f>SUM('Census demographics'!$C$22:$C36)-SUM('Census demographics'!$E$22:$E36)</f>
        <v>2.5685786241673281E-2</v>
      </c>
      <c r="C18" s="196">
        <f>SUM('Census demographics'!$C$23:$C36)-SUM('Census demographics'!$E$23:$E36)</f>
        <v>3.0320579005847947E-2</v>
      </c>
      <c r="D18" s="196">
        <f>SUM('Census demographics'!$C$24:$C36)-SUM('Census demographics'!$E$24:$E36)</f>
        <v>3.7090511889231292E-2</v>
      </c>
      <c r="E18" s="196">
        <f>SUM('Census demographics'!$C$25:$C36)-SUM('Census demographics'!$E$25:$E36)</f>
        <v>4.4606009647488065E-2</v>
      </c>
      <c r="F18" s="196">
        <f>SUM('Census demographics'!$C$26:$C36)-SUM('Census demographics'!$E$26:$E36)</f>
        <v>2.1470468406679766E-2</v>
      </c>
      <c r="G18" s="196">
        <f>SUM('Census demographics'!$C$27:$C36)-SUM('Census demographics'!$E$27:$E36)</f>
        <v>-4.9686069912509678E-2</v>
      </c>
      <c r="H18" s="196">
        <f>SUM('Census demographics'!$C$28:$C36)-SUM('Census demographics'!$E$28:$E36)</f>
        <v>-7.6754793165227431E-2</v>
      </c>
      <c r="I18" s="196">
        <f>SUM('Census demographics'!$C$29:$C36)-SUM('Census demographics'!$E$29:$E36)</f>
        <v>-8.6477175640814086E-2</v>
      </c>
      <c r="J18" s="196">
        <f>SUM('Census demographics'!$C$30:$C36)-SUM('Census demographics'!$E$30:$E36)</f>
        <v>-8.9766371573402892E-2</v>
      </c>
      <c r="K18" s="196">
        <f>SUM('Census demographics'!$C$31:$C36)-SUM('Census demographics'!$E$31:$E36)</f>
        <v>-8.8550510247354608E-2</v>
      </c>
      <c r="L18" s="196">
        <f>SUM('Census demographics'!$C$32:$C36)-SUM('Census demographics'!$E$32:$E36)</f>
        <v>-8.0689276610923677E-2</v>
      </c>
      <c r="M18" s="196">
        <f>SUM('Census demographics'!$C$33:$C36)-SUM('Census demographics'!$E$33:$E36)</f>
        <v>-6.6109918382092125E-2</v>
      </c>
      <c r="N18" s="196">
        <f>SUM('Census demographics'!$C$34:$C36)-SUM('Census demographics'!$E$34:$E36)</f>
        <v>-4.8723436883194776E-2</v>
      </c>
      <c r="O18" s="196">
        <f>SUM('Census demographics'!$C$35:$C36)-SUM('Census demographics'!$E$35:$E36)</f>
        <v>-3.3112994511992136E-2</v>
      </c>
      <c r="P18" s="196">
        <f>SUM('Census demographics'!$C$36:$C36)-SUM('Census demographics'!$E$36:$E36)</f>
        <v>-1.7353255379301824E-2</v>
      </c>
      <c r="Q18" s="169"/>
      <c r="R18" s="169"/>
      <c r="S18" s="169"/>
    </row>
    <row r="19" spans="1:20" x14ac:dyDescent="0.35">
      <c r="A19" s="195" t="s">
        <v>349</v>
      </c>
      <c r="B19" s="196">
        <f>SUM('Census demographics'!$C$22:$C37)-SUM('Census demographics'!$E$22:$E37)</f>
        <v>1.2587302854805915E-2</v>
      </c>
      <c r="C19" s="196">
        <f>SUM('Census demographics'!$C$23:$C37)-SUM('Census demographics'!$E$23:$E37)</f>
        <v>1.7222095618980582E-2</v>
      </c>
      <c r="D19" s="196">
        <f>SUM('Census demographics'!$C$24:$C37)-SUM('Census demographics'!$E$24:$E37)</f>
        <v>2.3992028502363927E-2</v>
      </c>
      <c r="E19" s="196">
        <f>SUM('Census demographics'!$C$25:$C37)-SUM('Census demographics'!$E$25:$E37)</f>
        <v>3.15075262606207E-2</v>
      </c>
      <c r="F19" s="196">
        <f>SUM('Census demographics'!$C$26:$C37)-SUM('Census demographics'!$E$26:$E37)</f>
        <v>8.3719850198124002E-3</v>
      </c>
      <c r="G19" s="196">
        <f>SUM('Census demographics'!$C$27:$C37)-SUM('Census demographics'!$E$27:$E37)</f>
        <v>-6.2784553299377044E-2</v>
      </c>
      <c r="H19" s="196">
        <f>SUM('Census demographics'!$C$28:$C37)-SUM('Census demographics'!$E$28:$E37)</f>
        <v>-8.9853276552094741E-2</v>
      </c>
      <c r="I19" s="196">
        <f>SUM('Census demographics'!$C$29:$C37)-SUM('Census demographics'!$E$29:$E37)</f>
        <v>-9.9575659027681396E-2</v>
      </c>
      <c r="J19" s="196">
        <f>SUM('Census demographics'!$C$30:$C37)-SUM('Census demographics'!$E$30:$E37)</f>
        <v>-0.10286485496027015</v>
      </c>
      <c r="K19" s="196">
        <f>SUM('Census demographics'!$C$31:$C37)-SUM('Census demographics'!$E$31:$E37)</f>
        <v>-0.10164899363422186</v>
      </c>
      <c r="L19" s="196">
        <f>SUM('Census demographics'!$C$32:$C37)-SUM('Census demographics'!$E$32:$E37)</f>
        <v>-9.3787759997790987E-2</v>
      </c>
      <c r="M19" s="196">
        <f>SUM('Census demographics'!$C$33:$C37)-SUM('Census demographics'!$E$33:$E37)</f>
        <v>-7.9208401768959436E-2</v>
      </c>
      <c r="N19" s="196">
        <f>SUM('Census demographics'!$C$34:$C37)-SUM('Census demographics'!$E$34:$E37)</f>
        <v>-6.1821920270062058E-2</v>
      </c>
      <c r="O19" s="196">
        <f>SUM('Census demographics'!$C$35:$C37)-SUM('Census demographics'!$E$35:$E37)</f>
        <v>-4.6211477898859404E-2</v>
      </c>
      <c r="P19" s="196">
        <f>SUM('Census demographics'!$C$36:$C37)-SUM('Census demographics'!$E$36:$E37)</f>
        <v>-3.045173876616912E-2</v>
      </c>
      <c r="Q19" s="196">
        <f>SUM('Census demographics'!$C$37:$C37)-SUM('Census demographics'!$E$37:$E37)</f>
        <v>-1.3098483386867286E-2</v>
      </c>
      <c r="R19" s="169"/>
      <c r="S19" s="169"/>
    </row>
    <row r="20" spans="1:20" x14ac:dyDescent="0.35">
      <c r="A20" s="195" t="s">
        <v>350</v>
      </c>
      <c r="B20" s="196">
        <f>SUM('Census demographics'!$C$22:$C38)-SUM('Census demographics'!$E$22:$E38)</f>
        <v>5.3702486488124146E-3</v>
      </c>
      <c r="C20" s="196">
        <f>SUM('Census demographics'!$C$23:$C38)-SUM('Census demographics'!$E$23:$E38)</f>
        <v>1.0005041412987081E-2</v>
      </c>
      <c r="D20" s="196">
        <f>SUM('Census demographics'!$C$24:$C38)-SUM('Census demographics'!$E$24:$E38)</f>
        <v>1.6774974296370426E-2</v>
      </c>
      <c r="E20" s="196">
        <f>SUM('Census demographics'!$C$25:$C38)-SUM('Census demographics'!$E$25:$E38)</f>
        <v>2.4290472054627199E-2</v>
      </c>
      <c r="F20" s="196">
        <f>SUM('Census demographics'!$C$26:$C38)-SUM('Census demographics'!$E$26:$E38)</f>
        <v>1.1549308138188996E-3</v>
      </c>
      <c r="G20" s="196">
        <f>SUM('Census demographics'!$C$27:$C38)-SUM('Census demographics'!$E$27:$E38)</f>
        <v>-7.0001607505370544E-2</v>
      </c>
      <c r="H20" s="196">
        <f>SUM('Census demographics'!$C$28:$C38)-SUM('Census demographics'!$E$28:$E38)</f>
        <v>-9.7070330758088241E-2</v>
      </c>
      <c r="I20" s="196">
        <f>SUM('Census demographics'!$C$29:$C38)-SUM('Census demographics'!$E$29:$E38)</f>
        <v>-0.1067927132336749</v>
      </c>
      <c r="J20" s="196">
        <f>SUM('Census demographics'!$C$30:$C38)-SUM('Census demographics'!$E$30:$E38)</f>
        <v>-0.1100819091662637</v>
      </c>
      <c r="K20" s="196">
        <f>SUM('Census demographics'!$C$31:$C38)-SUM('Census demographics'!$E$31:$E38)</f>
        <v>-0.10886604784021542</v>
      </c>
      <c r="L20" s="196">
        <f>SUM('Census demographics'!$C$32:$C38)-SUM('Census demographics'!$E$32:$E38)</f>
        <v>-0.10100481420378454</v>
      </c>
      <c r="M20" s="196">
        <f>SUM('Census demographics'!$C$33:$C38)-SUM('Census demographics'!$E$33:$E38)</f>
        <v>-8.6425455974952992E-2</v>
      </c>
      <c r="N20" s="196">
        <f>SUM('Census demographics'!$C$34:$C38)-SUM('Census demographics'!$E$34:$E38)</f>
        <v>-6.9038974476055615E-2</v>
      </c>
      <c r="O20" s="196">
        <f>SUM('Census demographics'!$C$35:$C38)-SUM('Census demographics'!$E$35:$E38)</f>
        <v>-5.3428532104852947E-2</v>
      </c>
      <c r="P20" s="196">
        <f>SUM('Census demographics'!$C$36:$C38)-SUM('Census demographics'!$E$36:$E38)</f>
        <v>-3.7668792972162662E-2</v>
      </c>
      <c r="Q20" s="196">
        <f>SUM('Census demographics'!$C$37:$C38)-SUM('Census demographics'!$E$37:$E38)</f>
        <v>-2.0315537592860825E-2</v>
      </c>
      <c r="R20" s="196">
        <f>SUM('Census demographics'!$C$38:$C38)-SUM('Census demographics'!$E$38:$E38)</f>
        <v>-7.2170542059935387E-3</v>
      </c>
      <c r="S20" s="169"/>
    </row>
    <row r="21" spans="1:20" x14ac:dyDescent="0.35">
      <c r="A21" s="195" t="s">
        <v>98</v>
      </c>
      <c r="B21" s="196">
        <f>SUM('Census demographics'!$C$22:$C39)-SUM('Census demographics'!$E$22:$E39)</f>
        <v>0</v>
      </c>
      <c r="C21" s="196">
        <f>SUM('Census demographics'!$C$23:$C39)-SUM('Census demographics'!$E$23:$E39)</f>
        <v>4.6347927641747777E-3</v>
      </c>
      <c r="D21" s="196">
        <f>SUM('Census demographics'!$C$24:$C39)-SUM('Census demographics'!$E$24:$E39)</f>
        <v>1.1404725647558123E-2</v>
      </c>
      <c r="E21" s="196">
        <f>SUM('Census demographics'!$C$25:$C39)-SUM('Census demographics'!$E$25:$E39)</f>
        <v>1.8920223405814895E-2</v>
      </c>
      <c r="F21" s="196">
        <f>SUM('Census demographics'!$C$26:$C39)-SUM('Census demographics'!$E$26:$E39)</f>
        <v>-4.215317834993404E-3</v>
      </c>
      <c r="G21" s="196">
        <f>SUM('Census demographics'!$C$27:$C39)-SUM('Census demographics'!$E$27:$E39)</f>
        <v>-7.5371856154182848E-2</v>
      </c>
      <c r="H21" s="196">
        <f>SUM('Census demographics'!$C$28:$C39)-SUM('Census demographics'!$E$28:$E39)</f>
        <v>-0.10244057940690054</v>
      </c>
      <c r="I21" s="196">
        <f>SUM('Census demographics'!$C$29:$C39)-SUM('Census demographics'!$E$29:$E39)</f>
        <v>-0.11216296188248714</v>
      </c>
      <c r="J21" s="196">
        <f>SUM('Census demographics'!$C$30:$C39)-SUM('Census demographics'!$E$30:$E39)</f>
        <v>-0.11545215781507601</v>
      </c>
      <c r="K21" s="196">
        <f>SUM('Census demographics'!$C$31:$C39)-SUM('Census demographics'!$E$31:$E39)</f>
        <v>-0.11423629648902772</v>
      </c>
      <c r="L21" s="196">
        <f>SUM('Census demographics'!$C$32:$C39)-SUM('Census demographics'!$E$32:$E39)</f>
        <v>-0.10637506285259685</v>
      </c>
      <c r="M21" s="196">
        <f>SUM('Census demographics'!$C$33:$C39)-SUM('Census demographics'!$E$33:$E39)</f>
        <v>-9.1795704623765295E-2</v>
      </c>
      <c r="N21" s="196">
        <f>SUM('Census demographics'!$C$34:$C39)-SUM('Census demographics'!$E$34:$E39)</f>
        <v>-7.440922312486789E-2</v>
      </c>
      <c r="O21" s="196">
        <f>SUM('Census demographics'!$C$35:$C39)-SUM('Census demographics'!$E$35:$E39)</f>
        <v>-5.8798780753665236E-2</v>
      </c>
      <c r="P21" s="196">
        <f>SUM('Census demographics'!$C$36:$C39)-SUM('Census demographics'!$E$36:$E39)</f>
        <v>-4.3039041620974938E-2</v>
      </c>
      <c r="Q21" s="196">
        <f>SUM('Census demographics'!$C$37:$C39)-SUM('Census demographics'!$E$37:$E39)</f>
        <v>-2.5685786241673107E-2</v>
      </c>
      <c r="R21" s="196">
        <f>SUM('Census demographics'!$C$38:$C39)-SUM('Census demographics'!$E$38:$E39)</f>
        <v>-1.2587302854805825E-2</v>
      </c>
      <c r="S21" s="196">
        <f>SUM('Census demographics'!$C$39:$C39)-SUM('Census demographics'!$E$39:$E39)</f>
        <v>-5.3702486488122897E-3</v>
      </c>
    </row>
    <row r="22" spans="1:20" x14ac:dyDescent="0.35">
      <c r="A22" s="109"/>
      <c r="B22" s="109"/>
      <c r="C22" s="169"/>
      <c r="D22" s="169"/>
      <c r="E22" s="169"/>
      <c r="F22" s="169"/>
      <c r="G22" s="169"/>
      <c r="H22" s="169"/>
      <c r="I22" s="169"/>
      <c r="J22" s="169"/>
      <c r="K22" s="169"/>
      <c r="L22" s="169"/>
      <c r="M22" s="169"/>
      <c r="N22" s="169"/>
      <c r="O22" s="169"/>
      <c r="P22" s="169"/>
      <c r="Q22" s="169"/>
      <c r="R22" s="169"/>
      <c r="S22" s="169"/>
      <c r="T22" s="197"/>
    </row>
    <row r="23" spans="1:20" x14ac:dyDescent="0.35">
      <c r="A23" s="194" t="s">
        <v>828</v>
      </c>
      <c r="B23" s="151" t="s">
        <v>369</v>
      </c>
      <c r="C23" s="109"/>
      <c r="D23" s="109"/>
      <c r="E23" s="109"/>
      <c r="F23" s="109"/>
      <c r="G23" s="109"/>
      <c r="H23" s="109"/>
      <c r="I23" s="109"/>
      <c r="J23" s="109"/>
      <c r="K23" s="109"/>
      <c r="L23" s="109"/>
      <c r="M23" s="109"/>
      <c r="N23" s="109"/>
      <c r="O23" s="109"/>
      <c r="P23" s="109"/>
      <c r="Q23" s="109"/>
      <c r="R23" s="109"/>
      <c r="S23" s="109"/>
      <c r="T23" s="197"/>
    </row>
    <row r="24" spans="1:20" x14ac:dyDescent="0.35">
      <c r="A24" s="151" t="s">
        <v>370</v>
      </c>
      <c r="B24" s="109" t="s">
        <v>351</v>
      </c>
      <c r="C24" s="109" t="s">
        <v>352</v>
      </c>
      <c r="D24" s="109" t="s">
        <v>353</v>
      </c>
      <c r="E24" s="109" t="s">
        <v>354</v>
      </c>
      <c r="F24" s="109" t="s">
        <v>355</v>
      </c>
      <c r="G24" s="109" t="s">
        <v>356</v>
      </c>
      <c r="H24" s="109" t="s">
        <v>357</v>
      </c>
      <c r="I24" s="109" t="s">
        <v>356</v>
      </c>
      <c r="J24" s="109" t="s">
        <v>358</v>
      </c>
      <c r="K24" s="109" t="s">
        <v>359</v>
      </c>
      <c r="L24" s="109" t="s">
        <v>360</v>
      </c>
      <c r="M24" s="109" t="s">
        <v>361</v>
      </c>
      <c r="N24" s="109" t="s">
        <v>362</v>
      </c>
      <c r="O24" s="109" t="s">
        <v>363</v>
      </c>
      <c r="P24" s="109" t="s">
        <v>364</v>
      </c>
      <c r="Q24" s="109" t="s">
        <v>365</v>
      </c>
      <c r="R24" s="109" t="s">
        <v>366</v>
      </c>
      <c r="S24" s="109" t="s">
        <v>98</v>
      </c>
    </row>
    <row r="25" spans="1:20" x14ac:dyDescent="0.35">
      <c r="A25" s="195" t="s">
        <v>334</v>
      </c>
      <c r="B25" s="196" t="str">
        <f t="shared" ref="B25:S25" si="0">IF(B4=MAX($B$4:$S$21),"Max",IF(B4=MIN($B$4:$S$21),"Min",""))</f>
        <v/>
      </c>
      <c r="C25" s="196" t="str">
        <f t="shared" si="0"/>
        <v/>
      </c>
      <c r="D25" s="196" t="str">
        <f t="shared" si="0"/>
        <v/>
      </c>
      <c r="E25" s="196" t="str">
        <f t="shared" si="0"/>
        <v/>
      </c>
      <c r="F25" s="196" t="str">
        <f t="shared" si="0"/>
        <v/>
      </c>
      <c r="G25" s="196" t="str">
        <f t="shared" si="0"/>
        <v/>
      </c>
      <c r="H25" s="196" t="str">
        <f t="shared" si="0"/>
        <v/>
      </c>
      <c r="I25" s="196" t="str">
        <f t="shared" si="0"/>
        <v/>
      </c>
      <c r="J25" s="196" t="str">
        <f t="shared" si="0"/>
        <v/>
      </c>
      <c r="K25" s="196" t="str">
        <f t="shared" si="0"/>
        <v/>
      </c>
      <c r="L25" s="196" t="str">
        <f t="shared" si="0"/>
        <v/>
      </c>
      <c r="M25" s="196" t="str">
        <f t="shared" si="0"/>
        <v/>
      </c>
      <c r="N25" s="196" t="str">
        <f t="shared" si="0"/>
        <v/>
      </c>
      <c r="O25" s="196" t="str">
        <f t="shared" si="0"/>
        <v/>
      </c>
      <c r="P25" s="196" t="str">
        <f t="shared" si="0"/>
        <v/>
      </c>
      <c r="Q25" s="196" t="str">
        <f t="shared" si="0"/>
        <v/>
      </c>
      <c r="R25" s="196" t="str">
        <f t="shared" si="0"/>
        <v/>
      </c>
      <c r="S25" s="196" t="str">
        <f t="shared" si="0"/>
        <v/>
      </c>
      <c r="T25" s="195" t="s">
        <v>334</v>
      </c>
    </row>
    <row r="26" spans="1:20" x14ac:dyDescent="0.35">
      <c r="A26" s="195" t="s">
        <v>335</v>
      </c>
      <c r="B26" s="196" t="str">
        <f t="shared" ref="B26:S26" si="1">IF(B5=MAX($B$4:$S$21),"Max",IF(B5=MIN($B$4:$S$21),"Min",""))</f>
        <v/>
      </c>
      <c r="C26" s="196" t="str">
        <f t="shared" si="1"/>
        <v/>
      </c>
      <c r="D26" s="196" t="str">
        <f t="shared" si="1"/>
        <v/>
      </c>
      <c r="E26" s="196" t="str">
        <f t="shared" si="1"/>
        <v/>
      </c>
      <c r="F26" s="196" t="str">
        <f t="shared" si="1"/>
        <v/>
      </c>
      <c r="G26" s="196" t="str">
        <f t="shared" si="1"/>
        <v/>
      </c>
      <c r="H26" s="196" t="str">
        <f t="shared" si="1"/>
        <v/>
      </c>
      <c r="I26" s="196" t="str">
        <f t="shared" si="1"/>
        <v/>
      </c>
      <c r="J26" s="196" t="str">
        <f t="shared" si="1"/>
        <v/>
      </c>
      <c r="K26" s="196" t="str">
        <f t="shared" si="1"/>
        <v/>
      </c>
      <c r="L26" s="196" t="str">
        <f t="shared" si="1"/>
        <v/>
      </c>
      <c r="M26" s="196" t="str">
        <f t="shared" si="1"/>
        <v/>
      </c>
      <c r="N26" s="196" t="str">
        <f t="shared" si="1"/>
        <v/>
      </c>
      <c r="O26" s="196" t="str">
        <f t="shared" si="1"/>
        <v/>
      </c>
      <c r="P26" s="196" t="str">
        <f t="shared" si="1"/>
        <v/>
      </c>
      <c r="Q26" s="196" t="str">
        <f t="shared" si="1"/>
        <v/>
      </c>
      <c r="R26" s="196" t="str">
        <f t="shared" si="1"/>
        <v/>
      </c>
      <c r="S26" s="196" t="str">
        <f t="shared" si="1"/>
        <v/>
      </c>
      <c r="T26" s="195" t="s">
        <v>335</v>
      </c>
    </row>
    <row r="27" spans="1:20" x14ac:dyDescent="0.35">
      <c r="A27" s="195" t="s">
        <v>336</v>
      </c>
      <c r="B27" s="196" t="str">
        <f t="shared" ref="B27:S27" si="2">IF(B6=MAX($B$4:$S$21),"Max",IF(B6=MIN($B$4:$S$21),"Min",""))</f>
        <v/>
      </c>
      <c r="C27" s="196" t="str">
        <f t="shared" si="2"/>
        <v/>
      </c>
      <c r="D27" s="196" t="str">
        <f t="shared" si="2"/>
        <v/>
      </c>
      <c r="E27" s="196" t="str">
        <f t="shared" si="2"/>
        <v/>
      </c>
      <c r="F27" s="196" t="str">
        <f t="shared" si="2"/>
        <v/>
      </c>
      <c r="G27" s="196" t="str">
        <f t="shared" si="2"/>
        <v/>
      </c>
      <c r="H27" s="196" t="str">
        <f t="shared" si="2"/>
        <v/>
      </c>
      <c r="I27" s="196" t="str">
        <f t="shared" si="2"/>
        <v/>
      </c>
      <c r="J27" s="196" t="str">
        <f t="shared" si="2"/>
        <v/>
      </c>
      <c r="K27" s="196" t="str">
        <f t="shared" si="2"/>
        <v/>
      </c>
      <c r="L27" s="196" t="str">
        <f t="shared" si="2"/>
        <v/>
      </c>
      <c r="M27" s="196" t="str">
        <f t="shared" si="2"/>
        <v/>
      </c>
      <c r="N27" s="196" t="str">
        <f t="shared" si="2"/>
        <v/>
      </c>
      <c r="O27" s="196" t="str">
        <f t="shared" si="2"/>
        <v/>
      </c>
      <c r="P27" s="196" t="str">
        <f t="shared" si="2"/>
        <v/>
      </c>
      <c r="Q27" s="196" t="str">
        <f t="shared" si="2"/>
        <v/>
      </c>
      <c r="R27" s="196" t="str">
        <f t="shared" si="2"/>
        <v/>
      </c>
      <c r="S27" s="196" t="str">
        <f t="shared" si="2"/>
        <v/>
      </c>
      <c r="T27" s="195" t="s">
        <v>336</v>
      </c>
    </row>
    <row r="28" spans="1:20" x14ac:dyDescent="0.35">
      <c r="A28" s="195" t="s">
        <v>337</v>
      </c>
      <c r="B28" s="196" t="str">
        <f t="shared" ref="B28:S28" si="3">IF(B7=MAX($B$4:$S$21),"Max",IF(B7=MIN($B$4:$S$21),"Min",""))</f>
        <v/>
      </c>
      <c r="C28" s="196" t="str">
        <f t="shared" si="3"/>
        <v/>
      </c>
      <c r="D28" s="196" t="str">
        <f t="shared" si="3"/>
        <v/>
      </c>
      <c r="E28" s="196" t="str">
        <f t="shared" si="3"/>
        <v/>
      </c>
      <c r="F28" s="196" t="str">
        <f t="shared" si="3"/>
        <v/>
      </c>
      <c r="G28" s="196" t="str">
        <f t="shared" si="3"/>
        <v/>
      </c>
      <c r="H28" s="196" t="str">
        <f t="shared" si="3"/>
        <v/>
      </c>
      <c r="I28" s="196" t="str">
        <f t="shared" si="3"/>
        <v/>
      </c>
      <c r="J28" s="196" t="str">
        <f t="shared" si="3"/>
        <v/>
      </c>
      <c r="K28" s="196" t="str">
        <f t="shared" si="3"/>
        <v/>
      </c>
      <c r="L28" s="196" t="str">
        <f t="shared" si="3"/>
        <v/>
      </c>
      <c r="M28" s="196" t="str">
        <f t="shared" si="3"/>
        <v/>
      </c>
      <c r="N28" s="196" t="str">
        <f t="shared" si="3"/>
        <v/>
      </c>
      <c r="O28" s="196" t="str">
        <f t="shared" si="3"/>
        <v/>
      </c>
      <c r="P28" s="196" t="str">
        <f t="shared" si="3"/>
        <v/>
      </c>
      <c r="Q28" s="196" t="str">
        <f t="shared" si="3"/>
        <v/>
      </c>
      <c r="R28" s="196" t="str">
        <f t="shared" si="3"/>
        <v/>
      </c>
      <c r="S28" s="196" t="str">
        <f t="shared" si="3"/>
        <v/>
      </c>
      <c r="T28" s="195" t="s">
        <v>337</v>
      </c>
    </row>
    <row r="29" spans="1:20" x14ac:dyDescent="0.35">
      <c r="A29" s="195" t="s">
        <v>338</v>
      </c>
      <c r="B29" s="196" t="str">
        <f t="shared" ref="B29:S29" si="4">IF(B8=MAX($B$4:$S$21),"Max",IF(B8=MIN($B$4:$S$21),"Min",""))</f>
        <v/>
      </c>
      <c r="C29" s="196" t="str">
        <f t="shared" si="4"/>
        <v/>
      </c>
      <c r="D29" s="196" t="str">
        <f t="shared" si="4"/>
        <v/>
      </c>
      <c r="E29" s="196" t="str">
        <f t="shared" si="4"/>
        <v/>
      </c>
      <c r="F29" s="196" t="str">
        <f t="shared" si="4"/>
        <v/>
      </c>
      <c r="G29" s="196" t="str">
        <f t="shared" si="4"/>
        <v/>
      </c>
      <c r="H29" s="196" t="str">
        <f t="shared" si="4"/>
        <v/>
      </c>
      <c r="I29" s="196" t="str">
        <f t="shared" si="4"/>
        <v/>
      </c>
      <c r="J29" s="196" t="str">
        <f t="shared" si="4"/>
        <v/>
      </c>
      <c r="K29" s="196" t="str">
        <f t="shared" si="4"/>
        <v/>
      </c>
      <c r="L29" s="196" t="str">
        <f t="shared" si="4"/>
        <v/>
      </c>
      <c r="M29" s="196" t="str">
        <f t="shared" si="4"/>
        <v/>
      </c>
      <c r="N29" s="196" t="str">
        <f t="shared" si="4"/>
        <v/>
      </c>
      <c r="O29" s="196" t="str">
        <f t="shared" si="4"/>
        <v/>
      </c>
      <c r="P29" s="196" t="str">
        <f t="shared" si="4"/>
        <v/>
      </c>
      <c r="Q29" s="196" t="str">
        <f t="shared" si="4"/>
        <v/>
      </c>
      <c r="R29" s="196" t="str">
        <f t="shared" si="4"/>
        <v/>
      </c>
      <c r="S29" s="196" t="str">
        <f t="shared" si="4"/>
        <v/>
      </c>
      <c r="T29" s="195" t="s">
        <v>338</v>
      </c>
    </row>
    <row r="30" spans="1:20" x14ac:dyDescent="0.35">
      <c r="A30" s="195" t="s">
        <v>339</v>
      </c>
      <c r="B30" s="196" t="str">
        <f t="shared" ref="B30:S30" si="5">IF(B9=MAX($B$4:$S$21),"Max",IF(B9=MIN($B$4:$S$21),"Min",""))</f>
        <v/>
      </c>
      <c r="C30" s="196" t="str">
        <f t="shared" si="5"/>
        <v/>
      </c>
      <c r="D30" s="196" t="str">
        <f t="shared" si="5"/>
        <v/>
      </c>
      <c r="E30" s="196" t="str">
        <f t="shared" si="5"/>
        <v/>
      </c>
      <c r="F30" s="196" t="str">
        <f t="shared" si="5"/>
        <v/>
      </c>
      <c r="G30" s="196" t="str">
        <f t="shared" si="5"/>
        <v/>
      </c>
      <c r="H30" s="196" t="str">
        <f t="shared" si="5"/>
        <v/>
      </c>
      <c r="I30" s="196" t="str">
        <f t="shared" si="5"/>
        <v/>
      </c>
      <c r="J30" s="196" t="str">
        <f t="shared" si="5"/>
        <v/>
      </c>
      <c r="K30" s="196" t="str">
        <f t="shared" si="5"/>
        <v/>
      </c>
      <c r="L30" s="196" t="str">
        <f t="shared" si="5"/>
        <v/>
      </c>
      <c r="M30" s="196" t="str">
        <f t="shared" si="5"/>
        <v/>
      </c>
      <c r="N30" s="196" t="str">
        <f t="shared" si="5"/>
        <v/>
      </c>
      <c r="O30" s="196" t="str">
        <f t="shared" si="5"/>
        <v/>
      </c>
      <c r="P30" s="196" t="str">
        <f t="shared" si="5"/>
        <v/>
      </c>
      <c r="Q30" s="196" t="str">
        <f t="shared" si="5"/>
        <v/>
      </c>
      <c r="R30" s="196" t="str">
        <f t="shared" si="5"/>
        <v/>
      </c>
      <c r="S30" s="196" t="str">
        <f t="shared" si="5"/>
        <v/>
      </c>
      <c r="T30" s="195" t="s">
        <v>339</v>
      </c>
    </row>
    <row r="31" spans="1:20" x14ac:dyDescent="0.35">
      <c r="A31" s="195" t="s">
        <v>340</v>
      </c>
      <c r="B31" s="196" t="str">
        <f t="shared" ref="B31:S31" si="6">IF(B10=MAX($B$4:$S$21),"Max",IF(B10=MIN($B$4:$S$21),"Min",""))</f>
        <v/>
      </c>
      <c r="C31" s="196" t="str">
        <f t="shared" si="6"/>
        <v/>
      </c>
      <c r="D31" s="196" t="str">
        <f t="shared" si="6"/>
        <v/>
      </c>
      <c r="E31" s="196" t="str">
        <f t="shared" si="6"/>
        <v/>
      </c>
      <c r="F31" s="196" t="str">
        <f t="shared" si="6"/>
        <v/>
      </c>
      <c r="G31" s="196" t="str">
        <f t="shared" si="6"/>
        <v/>
      </c>
      <c r="H31" s="196" t="str">
        <f t="shared" si="6"/>
        <v/>
      </c>
      <c r="I31" s="196" t="str">
        <f t="shared" si="6"/>
        <v/>
      </c>
      <c r="J31" s="196" t="str">
        <f t="shared" si="6"/>
        <v/>
      </c>
      <c r="K31" s="196" t="str">
        <f t="shared" si="6"/>
        <v/>
      </c>
      <c r="L31" s="196" t="str">
        <f t="shared" si="6"/>
        <v/>
      </c>
      <c r="M31" s="196" t="str">
        <f t="shared" si="6"/>
        <v/>
      </c>
      <c r="N31" s="196" t="str">
        <f t="shared" si="6"/>
        <v/>
      </c>
      <c r="O31" s="196" t="str">
        <f t="shared" si="6"/>
        <v/>
      </c>
      <c r="P31" s="196" t="str">
        <f t="shared" si="6"/>
        <v/>
      </c>
      <c r="Q31" s="196" t="str">
        <f t="shared" si="6"/>
        <v/>
      </c>
      <c r="R31" s="196" t="str">
        <f t="shared" si="6"/>
        <v/>
      </c>
      <c r="S31" s="196" t="str">
        <f t="shared" si="6"/>
        <v/>
      </c>
      <c r="T31" s="195" t="s">
        <v>340</v>
      </c>
    </row>
    <row r="32" spans="1:20" x14ac:dyDescent="0.35">
      <c r="A32" s="195" t="s">
        <v>341</v>
      </c>
      <c r="B32" s="196" t="str">
        <f t="shared" ref="B32:S32" si="7">IF(B11=MAX($B$4:$S$21),"Max",IF(B11=MIN($B$4:$S$21),"Min",""))</f>
        <v/>
      </c>
      <c r="C32" s="196" t="str">
        <f t="shared" si="7"/>
        <v/>
      </c>
      <c r="D32" s="196" t="str">
        <f t="shared" si="7"/>
        <v/>
      </c>
      <c r="E32" s="196" t="str">
        <f t="shared" si="7"/>
        <v>Max</v>
      </c>
      <c r="F32" s="196" t="str">
        <f t="shared" si="7"/>
        <v/>
      </c>
      <c r="G32" s="196" t="str">
        <f t="shared" si="7"/>
        <v/>
      </c>
      <c r="H32" s="196" t="str">
        <f t="shared" si="7"/>
        <v/>
      </c>
      <c r="I32" s="196" t="str">
        <f t="shared" si="7"/>
        <v/>
      </c>
      <c r="J32" s="196" t="str">
        <f t="shared" si="7"/>
        <v/>
      </c>
      <c r="K32" s="196" t="str">
        <f t="shared" si="7"/>
        <v/>
      </c>
      <c r="L32" s="196" t="str">
        <f t="shared" si="7"/>
        <v/>
      </c>
      <c r="M32" s="196" t="str">
        <f t="shared" si="7"/>
        <v/>
      </c>
      <c r="N32" s="196" t="str">
        <f t="shared" si="7"/>
        <v/>
      </c>
      <c r="O32" s="196" t="str">
        <f t="shared" si="7"/>
        <v/>
      </c>
      <c r="P32" s="196" t="str">
        <f t="shared" si="7"/>
        <v/>
      </c>
      <c r="Q32" s="196" t="str">
        <f t="shared" si="7"/>
        <v/>
      </c>
      <c r="R32" s="196" t="str">
        <f t="shared" si="7"/>
        <v/>
      </c>
      <c r="S32" s="196" t="str">
        <f t="shared" si="7"/>
        <v/>
      </c>
      <c r="T32" s="195" t="s">
        <v>341</v>
      </c>
    </row>
    <row r="33" spans="1:20" x14ac:dyDescent="0.35">
      <c r="A33" s="195" t="s">
        <v>342</v>
      </c>
      <c r="B33" s="196" t="str">
        <f t="shared" ref="B33:S33" si="8">IF(B12=MAX($B$4:$S$21),"Max",IF(B12=MIN($B$4:$S$21),"Min",""))</f>
        <v/>
      </c>
      <c r="C33" s="196" t="str">
        <f t="shared" si="8"/>
        <v/>
      </c>
      <c r="D33" s="196" t="str">
        <f t="shared" si="8"/>
        <v/>
      </c>
      <c r="E33" s="196" t="str">
        <f t="shared" si="8"/>
        <v/>
      </c>
      <c r="F33" s="196" t="str">
        <f t="shared" si="8"/>
        <v/>
      </c>
      <c r="G33" s="196" t="str">
        <f t="shared" si="8"/>
        <v/>
      </c>
      <c r="H33" s="196" t="str">
        <f t="shared" si="8"/>
        <v/>
      </c>
      <c r="I33" s="196" t="str">
        <f t="shared" si="8"/>
        <v/>
      </c>
      <c r="J33" s="196" t="str">
        <f t="shared" si="8"/>
        <v/>
      </c>
      <c r="K33" s="196" t="str">
        <f t="shared" si="8"/>
        <v/>
      </c>
      <c r="L33" s="196" t="str">
        <f t="shared" si="8"/>
        <v/>
      </c>
      <c r="M33" s="196" t="str">
        <f t="shared" si="8"/>
        <v/>
      </c>
      <c r="N33" s="196" t="str">
        <f t="shared" si="8"/>
        <v/>
      </c>
      <c r="O33" s="196" t="str">
        <f t="shared" si="8"/>
        <v/>
      </c>
      <c r="P33" s="196" t="str">
        <f t="shared" si="8"/>
        <v/>
      </c>
      <c r="Q33" s="196" t="str">
        <f t="shared" si="8"/>
        <v/>
      </c>
      <c r="R33" s="196" t="str">
        <f t="shared" si="8"/>
        <v/>
      </c>
      <c r="S33" s="196" t="str">
        <f t="shared" si="8"/>
        <v/>
      </c>
      <c r="T33" s="195" t="s">
        <v>342</v>
      </c>
    </row>
    <row r="34" spans="1:20" x14ac:dyDescent="0.35">
      <c r="A34" s="195" t="s">
        <v>343</v>
      </c>
      <c r="B34" s="196" t="str">
        <f t="shared" ref="B34:S34" si="9">IF(B13=MAX($B$4:$S$21),"Max",IF(B13=MIN($B$4:$S$21),"Min",""))</f>
        <v/>
      </c>
      <c r="C34" s="196" t="str">
        <f t="shared" si="9"/>
        <v/>
      </c>
      <c r="D34" s="196" t="str">
        <f t="shared" si="9"/>
        <v/>
      </c>
      <c r="E34" s="196" t="str">
        <f t="shared" si="9"/>
        <v/>
      </c>
      <c r="F34" s="196" t="str">
        <f t="shared" si="9"/>
        <v/>
      </c>
      <c r="G34" s="196" t="str">
        <f t="shared" si="9"/>
        <v/>
      </c>
      <c r="H34" s="196" t="str">
        <f t="shared" si="9"/>
        <v/>
      </c>
      <c r="I34" s="196" t="str">
        <f t="shared" si="9"/>
        <v/>
      </c>
      <c r="J34" s="196" t="str">
        <f t="shared" si="9"/>
        <v/>
      </c>
      <c r="K34" s="196" t="str">
        <f t="shared" si="9"/>
        <v/>
      </c>
      <c r="L34" s="196" t="str">
        <f t="shared" si="9"/>
        <v/>
      </c>
      <c r="M34" s="196" t="str">
        <f t="shared" si="9"/>
        <v/>
      </c>
      <c r="N34" s="196" t="str">
        <f t="shared" si="9"/>
        <v/>
      </c>
      <c r="O34" s="196" t="str">
        <f t="shared" si="9"/>
        <v/>
      </c>
      <c r="P34" s="196" t="str">
        <f t="shared" si="9"/>
        <v/>
      </c>
      <c r="Q34" s="196" t="str">
        <f t="shared" si="9"/>
        <v/>
      </c>
      <c r="R34" s="196" t="str">
        <f t="shared" si="9"/>
        <v/>
      </c>
      <c r="S34" s="196" t="str">
        <f t="shared" si="9"/>
        <v/>
      </c>
      <c r="T34" s="195" t="s">
        <v>343</v>
      </c>
    </row>
    <row r="35" spans="1:20" x14ac:dyDescent="0.35">
      <c r="A35" s="195" t="s">
        <v>344</v>
      </c>
      <c r="B35" s="196" t="str">
        <f t="shared" ref="B35:S35" si="10">IF(B14=MAX($B$4:$S$21),"Max",IF(B14=MIN($B$4:$S$21),"Min",""))</f>
        <v/>
      </c>
      <c r="C35" s="196" t="str">
        <f t="shared" si="10"/>
        <v/>
      </c>
      <c r="D35" s="196" t="str">
        <f t="shared" si="10"/>
        <v/>
      </c>
      <c r="E35" s="196" t="str">
        <f t="shared" si="10"/>
        <v/>
      </c>
      <c r="F35" s="196" t="str">
        <f t="shared" si="10"/>
        <v/>
      </c>
      <c r="G35" s="196" t="str">
        <f t="shared" si="10"/>
        <v/>
      </c>
      <c r="H35" s="196" t="str">
        <f t="shared" si="10"/>
        <v/>
      </c>
      <c r="I35" s="196" t="str">
        <f t="shared" si="10"/>
        <v/>
      </c>
      <c r="J35" s="196" t="str">
        <f t="shared" si="10"/>
        <v/>
      </c>
      <c r="K35" s="196" t="str">
        <f t="shared" si="10"/>
        <v/>
      </c>
      <c r="L35" s="196" t="str">
        <f t="shared" si="10"/>
        <v/>
      </c>
      <c r="M35" s="196" t="str">
        <f t="shared" si="10"/>
        <v/>
      </c>
      <c r="N35" s="196" t="str">
        <f t="shared" si="10"/>
        <v/>
      </c>
      <c r="O35" s="196" t="str">
        <f t="shared" si="10"/>
        <v/>
      </c>
      <c r="P35" s="196" t="str">
        <f t="shared" si="10"/>
        <v/>
      </c>
      <c r="Q35" s="196" t="str">
        <f t="shared" si="10"/>
        <v/>
      </c>
      <c r="R35" s="196" t="str">
        <f t="shared" si="10"/>
        <v/>
      </c>
      <c r="S35" s="196" t="str">
        <f t="shared" si="10"/>
        <v/>
      </c>
      <c r="T35" s="195" t="s">
        <v>344</v>
      </c>
    </row>
    <row r="36" spans="1:20" x14ac:dyDescent="0.35">
      <c r="A36" s="195" t="s">
        <v>345</v>
      </c>
      <c r="B36" s="196" t="str">
        <f t="shared" ref="B36:S36" si="11">IF(B15=MAX($B$4:$S$21),"Max",IF(B15=MIN($B$4:$S$21),"Min",""))</f>
        <v/>
      </c>
      <c r="C36" s="196" t="str">
        <f t="shared" si="11"/>
        <v/>
      </c>
      <c r="D36" s="196" t="str">
        <f t="shared" si="11"/>
        <v/>
      </c>
      <c r="E36" s="196" t="str">
        <f t="shared" si="11"/>
        <v/>
      </c>
      <c r="F36" s="196" t="str">
        <f t="shared" si="11"/>
        <v/>
      </c>
      <c r="G36" s="196" t="str">
        <f t="shared" si="11"/>
        <v/>
      </c>
      <c r="H36" s="196" t="str">
        <f t="shared" si="11"/>
        <v/>
      </c>
      <c r="I36" s="196" t="str">
        <f t="shared" si="11"/>
        <v/>
      </c>
      <c r="J36" s="196" t="str">
        <f t="shared" si="11"/>
        <v/>
      </c>
      <c r="K36" s="196" t="str">
        <f t="shared" si="11"/>
        <v/>
      </c>
      <c r="L36" s="196" t="str">
        <f t="shared" si="11"/>
        <v/>
      </c>
      <c r="M36" s="196" t="str">
        <f t="shared" si="11"/>
        <v/>
      </c>
      <c r="N36" s="196" t="str">
        <f t="shared" si="11"/>
        <v/>
      </c>
      <c r="O36" s="196" t="str">
        <f t="shared" si="11"/>
        <v/>
      </c>
      <c r="P36" s="196" t="str">
        <f t="shared" si="11"/>
        <v/>
      </c>
      <c r="Q36" s="196" t="str">
        <f t="shared" si="11"/>
        <v/>
      </c>
      <c r="R36" s="196" t="str">
        <f t="shared" si="11"/>
        <v/>
      </c>
      <c r="S36" s="196" t="str">
        <f t="shared" si="11"/>
        <v/>
      </c>
      <c r="T36" s="195" t="s">
        <v>345</v>
      </c>
    </row>
    <row r="37" spans="1:20" x14ac:dyDescent="0.35">
      <c r="A37" s="195" t="s">
        <v>346</v>
      </c>
      <c r="B37" s="196" t="str">
        <f t="shared" ref="B37:S37" si="12">IF(B16=MAX($B$4:$S$21),"Max",IF(B16=MIN($B$4:$S$21),"Min",""))</f>
        <v/>
      </c>
      <c r="C37" s="196" t="str">
        <f t="shared" si="12"/>
        <v/>
      </c>
      <c r="D37" s="196" t="str">
        <f t="shared" si="12"/>
        <v/>
      </c>
      <c r="E37" s="196" t="str">
        <f t="shared" si="12"/>
        <v/>
      </c>
      <c r="F37" s="196" t="str">
        <f t="shared" si="12"/>
        <v/>
      </c>
      <c r="G37" s="196" t="str">
        <f t="shared" si="12"/>
        <v/>
      </c>
      <c r="H37" s="196" t="str">
        <f t="shared" si="12"/>
        <v/>
      </c>
      <c r="I37" s="196" t="str">
        <f t="shared" si="12"/>
        <v/>
      </c>
      <c r="J37" s="196" t="str">
        <f t="shared" si="12"/>
        <v/>
      </c>
      <c r="K37" s="196" t="str">
        <f t="shared" si="12"/>
        <v/>
      </c>
      <c r="L37" s="196" t="str">
        <f t="shared" si="12"/>
        <v/>
      </c>
      <c r="M37" s="196" t="str">
        <f t="shared" si="12"/>
        <v/>
      </c>
      <c r="N37" s="196" t="str">
        <f t="shared" si="12"/>
        <v/>
      </c>
      <c r="O37" s="196" t="str">
        <f t="shared" si="12"/>
        <v/>
      </c>
      <c r="P37" s="196" t="str">
        <f t="shared" si="12"/>
        <v/>
      </c>
      <c r="Q37" s="196" t="str">
        <f t="shared" si="12"/>
        <v/>
      </c>
      <c r="R37" s="196" t="str">
        <f t="shared" si="12"/>
        <v/>
      </c>
      <c r="S37" s="196" t="str">
        <f t="shared" si="12"/>
        <v/>
      </c>
      <c r="T37" s="195" t="s">
        <v>346</v>
      </c>
    </row>
    <row r="38" spans="1:20" x14ac:dyDescent="0.35">
      <c r="A38" s="195" t="s">
        <v>347</v>
      </c>
      <c r="B38" s="196" t="str">
        <f t="shared" ref="B38:S38" si="13">IF(B17=MAX($B$4:$S$21),"Max",IF(B17=MIN($B$4:$S$21),"Min",""))</f>
        <v/>
      </c>
      <c r="C38" s="196" t="str">
        <f t="shared" si="13"/>
        <v/>
      </c>
      <c r="D38" s="196" t="str">
        <f t="shared" si="13"/>
        <v/>
      </c>
      <c r="E38" s="196" t="str">
        <f t="shared" si="13"/>
        <v/>
      </c>
      <c r="F38" s="196" t="str">
        <f t="shared" si="13"/>
        <v/>
      </c>
      <c r="G38" s="196" t="str">
        <f t="shared" si="13"/>
        <v/>
      </c>
      <c r="H38" s="196" t="str">
        <f t="shared" si="13"/>
        <v/>
      </c>
      <c r="I38" s="196" t="str">
        <f t="shared" si="13"/>
        <v/>
      </c>
      <c r="J38" s="196" t="str">
        <f t="shared" si="13"/>
        <v/>
      </c>
      <c r="K38" s="196" t="str">
        <f t="shared" si="13"/>
        <v/>
      </c>
      <c r="L38" s="196" t="str">
        <f t="shared" si="13"/>
        <v/>
      </c>
      <c r="M38" s="196" t="str">
        <f t="shared" si="13"/>
        <v/>
      </c>
      <c r="N38" s="196" t="str">
        <f t="shared" si="13"/>
        <v/>
      </c>
      <c r="O38" s="196" t="str">
        <f t="shared" si="13"/>
        <v/>
      </c>
      <c r="P38" s="196" t="str">
        <f t="shared" si="13"/>
        <v/>
      </c>
      <c r="Q38" s="196" t="str">
        <f t="shared" si="13"/>
        <v/>
      </c>
      <c r="R38" s="196" t="str">
        <f t="shared" si="13"/>
        <v/>
      </c>
      <c r="S38" s="196" t="str">
        <f t="shared" si="13"/>
        <v/>
      </c>
      <c r="T38" s="195" t="s">
        <v>347</v>
      </c>
    </row>
    <row r="39" spans="1:20" x14ac:dyDescent="0.35">
      <c r="A39" s="195" t="s">
        <v>348</v>
      </c>
      <c r="B39" s="196" t="str">
        <f t="shared" ref="B39:S39" si="14">IF(B18=MAX($B$4:$S$21),"Max",IF(B18=MIN($B$4:$S$21),"Min",""))</f>
        <v/>
      </c>
      <c r="C39" s="196" t="str">
        <f t="shared" si="14"/>
        <v/>
      </c>
      <c r="D39" s="196" t="str">
        <f t="shared" si="14"/>
        <v/>
      </c>
      <c r="E39" s="196" t="str">
        <f t="shared" si="14"/>
        <v/>
      </c>
      <c r="F39" s="196" t="str">
        <f t="shared" si="14"/>
        <v/>
      </c>
      <c r="G39" s="196" t="str">
        <f t="shared" si="14"/>
        <v/>
      </c>
      <c r="H39" s="196" t="str">
        <f t="shared" si="14"/>
        <v/>
      </c>
      <c r="I39" s="196" t="str">
        <f t="shared" si="14"/>
        <v/>
      </c>
      <c r="J39" s="196" t="str">
        <f t="shared" si="14"/>
        <v/>
      </c>
      <c r="K39" s="196" t="str">
        <f t="shared" si="14"/>
        <v/>
      </c>
      <c r="L39" s="196" t="str">
        <f t="shared" si="14"/>
        <v/>
      </c>
      <c r="M39" s="196" t="str">
        <f t="shared" si="14"/>
        <v/>
      </c>
      <c r="N39" s="196" t="str">
        <f t="shared" si="14"/>
        <v/>
      </c>
      <c r="O39" s="196" t="str">
        <f t="shared" si="14"/>
        <v/>
      </c>
      <c r="P39" s="196" t="str">
        <f t="shared" si="14"/>
        <v/>
      </c>
      <c r="Q39" s="196" t="str">
        <f t="shared" si="14"/>
        <v/>
      </c>
      <c r="R39" s="196" t="str">
        <f t="shared" si="14"/>
        <v/>
      </c>
      <c r="S39" s="196" t="str">
        <f t="shared" si="14"/>
        <v/>
      </c>
      <c r="T39" s="195" t="s">
        <v>348</v>
      </c>
    </row>
    <row r="40" spans="1:20" x14ac:dyDescent="0.35">
      <c r="A40" s="195" t="s">
        <v>349</v>
      </c>
      <c r="B40" s="196" t="str">
        <f t="shared" ref="B40:S40" si="15">IF(B19=MAX($B$4:$S$21),"Max",IF(B19=MIN($B$4:$S$21),"Min",""))</f>
        <v/>
      </c>
      <c r="C40" s="196" t="str">
        <f t="shared" si="15"/>
        <v/>
      </c>
      <c r="D40" s="196" t="str">
        <f t="shared" si="15"/>
        <v/>
      </c>
      <c r="E40" s="196" t="str">
        <f t="shared" si="15"/>
        <v/>
      </c>
      <c r="F40" s="196" t="str">
        <f t="shared" si="15"/>
        <v/>
      </c>
      <c r="G40" s="196" t="str">
        <f t="shared" si="15"/>
        <v/>
      </c>
      <c r="H40" s="196" t="str">
        <f t="shared" si="15"/>
        <v/>
      </c>
      <c r="I40" s="196" t="str">
        <f t="shared" si="15"/>
        <v/>
      </c>
      <c r="J40" s="196" t="str">
        <f t="shared" si="15"/>
        <v/>
      </c>
      <c r="K40" s="196" t="str">
        <f t="shared" si="15"/>
        <v/>
      </c>
      <c r="L40" s="196" t="str">
        <f t="shared" si="15"/>
        <v/>
      </c>
      <c r="M40" s="196" t="str">
        <f t="shared" si="15"/>
        <v/>
      </c>
      <c r="N40" s="196" t="str">
        <f t="shared" si="15"/>
        <v/>
      </c>
      <c r="O40" s="196" t="str">
        <f t="shared" si="15"/>
        <v/>
      </c>
      <c r="P40" s="196" t="str">
        <f t="shared" si="15"/>
        <v/>
      </c>
      <c r="Q40" s="196" t="str">
        <f t="shared" si="15"/>
        <v/>
      </c>
      <c r="R40" s="196" t="str">
        <f t="shared" si="15"/>
        <v/>
      </c>
      <c r="S40" s="196" t="str">
        <f t="shared" si="15"/>
        <v/>
      </c>
      <c r="T40" s="195" t="s">
        <v>349</v>
      </c>
    </row>
    <row r="41" spans="1:20" x14ac:dyDescent="0.35">
      <c r="A41" s="195" t="s">
        <v>350</v>
      </c>
      <c r="B41" s="196" t="str">
        <f t="shared" ref="B41:S41" si="16">IF(B20=MAX($B$4:$S$21),"Max",IF(B20=MIN($B$4:$S$21),"Min",""))</f>
        <v/>
      </c>
      <c r="C41" s="196" t="str">
        <f t="shared" si="16"/>
        <v/>
      </c>
      <c r="D41" s="196" t="str">
        <f t="shared" si="16"/>
        <v/>
      </c>
      <c r="E41" s="196" t="str">
        <f t="shared" si="16"/>
        <v/>
      </c>
      <c r="F41" s="196" t="str">
        <f t="shared" si="16"/>
        <v/>
      </c>
      <c r="G41" s="196" t="str">
        <f t="shared" si="16"/>
        <v/>
      </c>
      <c r="H41" s="196" t="str">
        <f t="shared" si="16"/>
        <v/>
      </c>
      <c r="I41" s="196" t="str">
        <f t="shared" si="16"/>
        <v/>
      </c>
      <c r="J41" s="196" t="str">
        <f t="shared" si="16"/>
        <v/>
      </c>
      <c r="K41" s="196" t="str">
        <f t="shared" si="16"/>
        <v/>
      </c>
      <c r="L41" s="196" t="str">
        <f t="shared" si="16"/>
        <v/>
      </c>
      <c r="M41" s="196" t="str">
        <f t="shared" si="16"/>
        <v/>
      </c>
      <c r="N41" s="196" t="str">
        <f t="shared" si="16"/>
        <v/>
      </c>
      <c r="O41" s="196" t="str">
        <f t="shared" si="16"/>
        <v/>
      </c>
      <c r="P41" s="196" t="str">
        <f t="shared" si="16"/>
        <v/>
      </c>
      <c r="Q41" s="196" t="str">
        <f t="shared" si="16"/>
        <v/>
      </c>
      <c r="R41" s="196" t="str">
        <f t="shared" si="16"/>
        <v/>
      </c>
      <c r="S41" s="196" t="str">
        <f t="shared" si="16"/>
        <v/>
      </c>
      <c r="T41" s="195" t="s">
        <v>350</v>
      </c>
    </row>
    <row r="42" spans="1:20" x14ac:dyDescent="0.35">
      <c r="A42" s="195" t="s">
        <v>98</v>
      </c>
      <c r="B42" s="196" t="str">
        <f t="shared" ref="B42:S42" si="17">IF(B21=MAX($B$4:$S$21),"Max",IF(B21=MIN($B$4:$S$21),"Min",""))</f>
        <v/>
      </c>
      <c r="C42" s="196" t="str">
        <f t="shared" si="17"/>
        <v/>
      </c>
      <c r="D42" s="196" t="str">
        <f t="shared" si="17"/>
        <v/>
      </c>
      <c r="E42" s="196" t="str">
        <f t="shared" si="17"/>
        <v/>
      </c>
      <c r="F42" s="196" t="str">
        <f t="shared" si="17"/>
        <v/>
      </c>
      <c r="G42" s="196" t="str">
        <f t="shared" si="17"/>
        <v/>
      </c>
      <c r="H42" s="196" t="str">
        <f t="shared" si="17"/>
        <v/>
      </c>
      <c r="I42" s="196" t="str">
        <f t="shared" si="17"/>
        <v/>
      </c>
      <c r="J42" s="196" t="str">
        <f t="shared" si="17"/>
        <v>Min</v>
      </c>
      <c r="K42" s="196" t="str">
        <f t="shared" si="17"/>
        <v/>
      </c>
      <c r="L42" s="196" t="str">
        <f t="shared" si="17"/>
        <v/>
      </c>
      <c r="M42" s="196" t="str">
        <f t="shared" si="17"/>
        <v/>
      </c>
      <c r="N42" s="196" t="str">
        <f t="shared" si="17"/>
        <v/>
      </c>
      <c r="O42" s="196" t="str">
        <f t="shared" si="17"/>
        <v/>
      </c>
      <c r="P42" s="196" t="str">
        <f t="shared" si="17"/>
        <v/>
      </c>
      <c r="Q42" s="196" t="str">
        <f t="shared" si="17"/>
        <v/>
      </c>
      <c r="R42" s="196" t="str">
        <f t="shared" si="17"/>
        <v/>
      </c>
      <c r="S42" s="196" t="str">
        <f t="shared" si="17"/>
        <v/>
      </c>
      <c r="T42" s="195" t="s">
        <v>98</v>
      </c>
    </row>
    <row r="43" spans="1:20" x14ac:dyDescent="0.35">
      <c r="A43" s="109"/>
      <c r="B43" s="109" t="s">
        <v>351</v>
      </c>
      <c r="C43" s="109" t="s">
        <v>352</v>
      </c>
      <c r="D43" s="109" t="s">
        <v>353</v>
      </c>
      <c r="E43" s="109" t="s">
        <v>354</v>
      </c>
      <c r="F43" s="109" t="s">
        <v>355</v>
      </c>
      <c r="G43" s="109" t="s">
        <v>356</v>
      </c>
      <c r="H43" s="109" t="s">
        <v>357</v>
      </c>
      <c r="I43" s="109" t="s">
        <v>356</v>
      </c>
      <c r="J43" s="109" t="s">
        <v>358</v>
      </c>
      <c r="K43" s="109" t="s">
        <v>359</v>
      </c>
      <c r="L43" s="109" t="s">
        <v>360</v>
      </c>
      <c r="M43" s="109" t="s">
        <v>361</v>
      </c>
      <c r="N43" s="109" t="s">
        <v>362</v>
      </c>
      <c r="O43" s="109" t="s">
        <v>363</v>
      </c>
      <c r="P43" s="109" t="s">
        <v>364</v>
      </c>
      <c r="Q43" s="109" t="s">
        <v>365</v>
      </c>
      <c r="R43" s="109" t="s">
        <v>366</v>
      </c>
      <c r="S43" s="109" t="s">
        <v>98</v>
      </c>
    </row>
    <row r="44" spans="1:20" x14ac:dyDescent="0.35">
      <c r="A44" s="151" t="s">
        <v>371</v>
      </c>
      <c r="B44" s="109"/>
      <c r="C44" s="109"/>
    </row>
    <row r="45" spans="1:20" x14ac:dyDescent="0.35">
      <c r="A45" s="109" t="str">
        <f>IFERROR(HLOOKUP("Max",$B$25:$S$43,19,FALSE),IFERROR(HLOOKUP("Max",$B$26:$S$43,18,FALSE),IFERROR(HLOOKUP("Max",$B$27:$S$43,17,FALSE),IFERROR(HLOOKUP("Max",$B$28:$S$43,16,FALSE),IFERROR(HLOOKUP("Max",$B$29:$S$43,15,FALSE),IFERROR(HLOOKUP("Max",$B$30:$S$43,14,FALSE),IFERROR(HLOOKUP("Max",$B$31:$S$43,13,FALSE),IFERROR(HLOOKUP("Max",$B$32:$S$43,12,FALSE),IFERROR(HLOOKUP("Max",$B$33:$S$43,11,FALSE),IFERROR(HLOOKUP("Max",$B$34:$S$43,10,FALSE),IFERROR(HLOOKUP("Max",$B$35:$S$43,9,FALSE),IFERROR(HLOOKUP("Max",$B$36:$S$43,8,FALSE),IFERROR(HLOOKUP("Max",$B$37:$S$43,7,FALSE),IFERROR(HLOOKUP("Max",$B$38:$S$43,6,FALSE),IFERROR(HLOOKUP("Max",$B$39:$S$43,5,FALSE),IFERROR(HLOOKUP("Max",$B$40:$S$43,4,FALSE),IFERROR(HLOOKUP("Max",$B$41:$S$43,3,FALSE),IFERROR(HLOOKUP("Max",$B$42:$S$43,2,FALSE),""))))))))))))))))))</f>
        <v>15</v>
      </c>
      <c r="B45" s="198" t="str">
        <f>IFERROR(VLOOKUP("Max",$B$25:$T$42,19,FALSE),IFERROR(VLOOKUP("Max",$C$25:$T$42,18,FALSE),IFERROR(VLOOKUP("Max",$D$25:$T$42,17,FALSE),IFERROR(VLOOKUP("Max",$E$25:$T$42,16,FALSE),IFERROR(VLOOKUP("Max",$F$25:$T$42,15,FALSE),IFERROR(VLOOKUP("Max",$G$25:$T$42,14,FALSE),IFERROR(VLOOKUP("Max",$H$25:$T$42,13,FALSE),IFERROR(VLOOKUP("Max",$I$25:$T$42,12,FALSE),IFERROR(VLOOKUP("Max",$J$25:$T$42,11,FALSE),IFERROR(VLOOKUP("Max",$K$25:$T$42,10,FALSE),IFERROR(VLOOKUP("Max",$L$25:$T$42,9,FALSE),IFERROR(VLOOKUP("Max",$M$25:$T$42,8,FALSE),IFERROR(VLOOKUP("Max",$N$25:$T$42,7,FALSE),IFERROR(VLOOKUP("Max",$O$25:$T$42,6,FALSE),IFERROR(VLOOKUP("Max",$P$25:$T$42,5,FALSE),IFERROR(VLOOKUP("Max",$Q$25:$T$42,4,FALSE),IFERROR(VLOOKUP("Max",$R$25:$T$42,3,FALSE),IFERROR(VLOOKUP("Max",$S$25:$T$42,2,FALSE),""))))))))))))))))))</f>
        <v>39</v>
      </c>
      <c r="C45" s="109"/>
    </row>
    <row r="46" spans="1:20" x14ac:dyDescent="0.35">
      <c r="A46" s="109"/>
      <c r="B46" s="196"/>
      <c r="C46" s="109"/>
    </row>
    <row r="47" spans="1:20" x14ac:dyDescent="0.35">
      <c r="A47" s="151" t="s">
        <v>372</v>
      </c>
      <c r="B47" s="196"/>
      <c r="C47" s="109"/>
    </row>
    <row r="48" spans="1:20" x14ac:dyDescent="0.35">
      <c r="A48" s="198" t="str">
        <f>IFERROR(HLOOKUP("Min",$B$25:$S$43,19,FALSE),IFERROR(HLOOKUP("Min",$B$26:$S$43,18,FALSE),IFERROR(HLOOKUP("Min",$B$27:$S$43,17,FALSE),IFERROR(HLOOKUP("Min",$B$28:$S$43,16,FALSE),IFERROR(HLOOKUP("Min",$B$29:$S$43,15,FALSE),IFERROR(HLOOKUP("Min",$B$30:$S$43,14,FALSE),IFERROR(HLOOKUP("Min",$B$31:$S$43,13,FALSE),IFERROR(HLOOKUP("Min",$B$32:$S$43,12,FALSE),IFERROR(HLOOKUP("Min",$B$33:$S$43,11,FALSE),IFERROR(HLOOKUP("Min",$B$34:$S$43,10,FALSE),IFERROR(HLOOKUP("Min",$B$35:$S$43,9,FALSE),IFERROR(HLOOKUP("Min",$B$36:$S$43,8,FALSE),IFERROR(HLOOKUP("Min",$B$37:$S$43,7,FALSE),IFERROR(HLOOKUP("Min",$B$38:$S$43,6,FALSE),IFERROR(HLOOKUP("Min",$B$39:$S$43,5,FALSE),IFERROR(HLOOKUP("Min",$B$40:$S$43,4,FALSE),IFERROR(HLOOKUP("Min",$B$41:$S$43,3,FALSE),IFERROR(HLOOKUP("Min",$B$42:$S$43,2,FALSE),""))))))))))))))))))</f>
        <v>40</v>
      </c>
      <c r="B48" s="196" t="str">
        <f>IFERROR(VLOOKUP("Min",$B$25:$T$42,19,FALSE),IFERROR(VLOOKUP("Min",$C$25:$T$42,18,FALSE),IFERROR(VLOOKUP("Min",$D$25:$T$42,17,FALSE),IFERROR(VLOOKUP("Min",$E$25:$T$42,16,FALSE),IFERROR(VLOOKUP("Min",$F$25:$T$42,15,FALSE),IFERROR(VLOOKUP("Min",$G$25:$T$42,14,FALSE),IFERROR(VLOOKUP("Min",$H$25:$T$42,13,FALSE),IFERROR(VLOOKUP("Min",$I$25:$T$42,12,FALSE),IFERROR(VLOOKUP("Min",$J$25:$T$42,11,FALSE),IFERROR(VLOOKUP("Min",$K$25:$T$42,10,FALSE),IFERROR(VLOOKUP("Min",$L$25:$T$42,9,FALSE),IFERROR(VLOOKUP("Min",$M$25:$T$42,8,FALSE),IFERROR(VLOOKUP("Min",$N$25:$T$42,7,FALSE),IFERROR(VLOOKUP("Min",$O$25:$T$42,6,FALSE),IFERROR(VLOOKUP("Min",$P$25:$T$42,5,FALSE),IFERROR(VLOOKUP("Min",$Q$25:$T$42,4,FALSE),IFERROR(VLOOKUP("Min",$R$25:$T$42,3,FALSE),IFERROR(VLOOKUP("Min",$S$25:$T$42,2,FALSE),""))))))))))))))))))</f>
        <v>85+</v>
      </c>
      <c r="C48" s="109"/>
    </row>
    <row r="52" spans="1:28" x14ac:dyDescent="0.35">
      <c r="A52" s="193" t="s">
        <v>829</v>
      </c>
      <c r="B52" s="109"/>
      <c r="C52" s="109"/>
      <c r="D52" s="109"/>
      <c r="E52" s="109"/>
      <c r="F52" s="109"/>
      <c r="G52" s="109"/>
      <c r="H52" s="109"/>
      <c r="I52" s="109"/>
    </row>
    <row r="53" spans="1:28" x14ac:dyDescent="0.35">
      <c r="A53" s="172" t="s">
        <v>645</v>
      </c>
      <c r="B53" s="191" t="s">
        <v>367</v>
      </c>
      <c r="C53" s="191"/>
      <c r="D53" s="191" t="s">
        <v>368</v>
      </c>
      <c r="E53" s="191"/>
      <c r="F53" s="151" t="s">
        <v>1</v>
      </c>
      <c r="G53" s="109"/>
      <c r="H53" s="109"/>
      <c r="I53" s="109"/>
    </row>
    <row r="54" spans="1:28" x14ac:dyDescent="0.35">
      <c r="A54" s="172"/>
      <c r="B54" s="174" t="s">
        <v>73</v>
      </c>
      <c r="C54" s="174" t="s">
        <v>74</v>
      </c>
      <c r="D54" s="174" t="s">
        <v>73</v>
      </c>
      <c r="E54" s="174" t="s">
        <v>74</v>
      </c>
      <c r="F54" s="109"/>
      <c r="G54" s="109"/>
      <c r="H54" s="109"/>
      <c r="I54" s="109"/>
    </row>
    <row r="55" spans="1:28" x14ac:dyDescent="0.35">
      <c r="A55" s="175" t="s">
        <v>646</v>
      </c>
      <c r="B55" s="176">
        <f>'Census demographics'!B54</f>
        <v>5565</v>
      </c>
      <c r="C55" s="186">
        <f>'Census demographics'!C54</f>
        <v>2.4990008487172692E-2</v>
      </c>
      <c r="D55" s="176">
        <f>'Census demographics'!D54</f>
        <v>10717</v>
      </c>
      <c r="E55" s="186">
        <f>'Census demographics'!E54</f>
        <v>8.601572313162404E-3</v>
      </c>
      <c r="F55" s="198">
        <f>'Census demographics'!F54</f>
        <v>290.52837757269299</v>
      </c>
      <c r="G55" s="109"/>
      <c r="H55" s="109"/>
      <c r="I55" s="109"/>
    </row>
    <row r="56" spans="1:28" x14ac:dyDescent="0.35">
      <c r="A56" s="175" t="s">
        <v>647</v>
      </c>
      <c r="B56" s="176">
        <f>'Census demographics'!B55</f>
        <v>3810</v>
      </c>
      <c r="C56" s="186">
        <f>'Census demographics'!C55</f>
        <v>1.7109062414398555E-2</v>
      </c>
      <c r="D56" s="176">
        <f>'Census demographics'!D55</f>
        <v>8167</v>
      </c>
      <c r="E56" s="186">
        <f>'Census demographics'!E55</f>
        <v>6.5549165887466036E-3</v>
      </c>
      <c r="F56" s="198">
        <f>'Census demographics'!F55</f>
        <v>261.01113847537243</v>
      </c>
      <c r="G56" s="109"/>
      <c r="H56" s="109"/>
      <c r="I56" s="109"/>
    </row>
    <row r="57" spans="1:28" x14ac:dyDescent="0.35">
      <c r="A57" s="175" t="s">
        <v>648</v>
      </c>
      <c r="B57" s="176">
        <f>'Census demographics'!B56</f>
        <v>6530</v>
      </c>
      <c r="C57" s="186">
        <f>'Census demographics'!C56</f>
        <v>2.9323406185307762E-2</v>
      </c>
      <c r="D57" s="176">
        <f>'Census demographics'!D56</f>
        <v>14101</v>
      </c>
      <c r="E57" s="186">
        <f>'Census demographics'!E56</f>
        <v>1.1317604850975372E-2</v>
      </c>
      <c r="F57" s="198">
        <f>'Census demographics'!F56</f>
        <v>259.0955115629489</v>
      </c>
      <c r="G57" s="109"/>
      <c r="H57" s="109"/>
      <c r="I57" s="109"/>
    </row>
    <row r="58" spans="1:28" x14ac:dyDescent="0.35">
      <c r="A58" s="175" t="s">
        <v>649</v>
      </c>
      <c r="B58" s="176">
        <f>'Census demographics'!B57</f>
        <v>6794</v>
      </c>
      <c r="C58" s="186">
        <f>'Census demographics'!C57</f>
        <v>3.0508916021896006E-2</v>
      </c>
      <c r="D58" s="176">
        <f>'Census demographics'!D57</f>
        <v>14554</v>
      </c>
      <c r="E58" s="186">
        <f>'Census demographics'!E57</f>
        <v>1.1681187220842179E-2</v>
      </c>
      <c r="F58" s="198">
        <f>'Census demographics'!F57</f>
        <v>261.17992499478493</v>
      </c>
      <c r="G58" s="109"/>
      <c r="H58" s="109"/>
      <c r="I58" s="109"/>
    </row>
    <row r="59" spans="1:28" x14ac:dyDescent="0.35">
      <c r="A59" s="175" t="s">
        <v>662</v>
      </c>
      <c r="B59" s="176">
        <f>'Census demographics'!B58</f>
        <v>4314</v>
      </c>
      <c r="C59" s="186">
        <f>'Census demographics'!C58</f>
        <v>1.9372308466067027E-2</v>
      </c>
      <c r="D59" s="176">
        <f>'Census demographics'!D58</f>
        <v>10900</v>
      </c>
      <c r="E59" s="186">
        <f>'Census demographics'!E58</f>
        <v>8.7484499592675388E-3</v>
      </c>
      <c r="F59" s="198">
        <f>'Census demographics'!F58</f>
        <v>221.43703806118552</v>
      </c>
      <c r="G59" s="109"/>
      <c r="H59" s="109"/>
      <c r="I59" s="109"/>
    </row>
    <row r="60" spans="1:28" x14ac:dyDescent="0.35">
      <c r="A60" s="175" t="s">
        <v>650</v>
      </c>
      <c r="B60" s="176">
        <f>'Census demographics'!B59</f>
        <v>8033</v>
      </c>
      <c r="C60" s="186">
        <f>'Census demographics'!C59</f>
        <v>3.6072729232247663E-2</v>
      </c>
      <c r="D60" s="176">
        <f>'Census demographics'!D59</f>
        <v>14743</v>
      </c>
      <c r="E60" s="186">
        <f>'Census demographics'!E59</f>
        <v>1.183288052747535E-2</v>
      </c>
      <c r="F60" s="198">
        <f>'Census demographics'!F59</f>
        <v>304.85163057709076</v>
      </c>
      <c r="G60" s="109"/>
      <c r="H60" s="109"/>
      <c r="I60" s="109"/>
    </row>
    <row r="61" spans="1:28" x14ac:dyDescent="0.35">
      <c r="A61" s="175" t="s">
        <v>651</v>
      </c>
      <c r="B61" s="176">
        <f>'Census demographics'!B60</f>
        <v>1015</v>
      </c>
      <c r="C61" s="186">
        <f>'Census demographics'!C60</f>
        <v>4.5579260762767804E-3</v>
      </c>
      <c r="D61" s="176">
        <f>'Census demographics'!D60</f>
        <v>2496</v>
      </c>
      <c r="E61" s="186">
        <f>'Census demographics'!E60</f>
        <v>2.0033147796634657E-3</v>
      </c>
      <c r="F61" s="198">
        <f>'Census demographics'!F60</f>
        <v>227.51921577908294</v>
      </c>
      <c r="G61" s="109"/>
      <c r="H61" s="109"/>
      <c r="I61" s="109"/>
    </row>
    <row r="62" spans="1:28" x14ac:dyDescent="0.35">
      <c r="A62" s="175" t="s">
        <v>661</v>
      </c>
      <c r="B62" s="176">
        <f>'Census demographics'!B61</f>
        <v>1344</v>
      </c>
      <c r="C62" s="186">
        <f>'Census demographics'!C61</f>
        <v>6.0353228044492547E-3</v>
      </c>
      <c r="D62" s="176">
        <f>'Census demographics'!D61</f>
        <v>2816</v>
      </c>
      <c r="E62" s="186">
        <f>'Census demographics'!E61</f>
        <v>2.2601500078254485E-3</v>
      </c>
      <c r="F62" s="198">
        <f>'Census demographics'!F61</f>
        <v>267.03195732817761</v>
      </c>
      <c r="G62" s="109"/>
      <c r="H62" s="109"/>
      <c r="I62" s="109"/>
      <c r="J62" s="151"/>
      <c r="K62" s="109"/>
      <c r="L62" s="109"/>
      <c r="M62" s="109"/>
      <c r="N62" s="109"/>
      <c r="O62" s="109"/>
      <c r="P62" s="109"/>
      <c r="Q62" s="109"/>
      <c r="R62" s="109"/>
      <c r="S62" s="109"/>
      <c r="T62" s="109"/>
      <c r="U62" s="109"/>
      <c r="V62" s="109"/>
      <c r="W62" s="109"/>
      <c r="X62" s="109"/>
      <c r="Y62" s="109"/>
      <c r="Z62" s="109"/>
      <c r="AA62" s="109"/>
      <c r="AB62" s="109"/>
    </row>
    <row r="63" spans="1:28" x14ac:dyDescent="0.35">
      <c r="A63" s="175" t="s">
        <v>652</v>
      </c>
      <c r="B63" s="176">
        <f>'Census demographics'!B62</f>
        <v>2419</v>
      </c>
      <c r="C63" s="186">
        <f>'Census demographics'!C62</f>
        <v>1.086268293449609E-2</v>
      </c>
      <c r="D63" s="176">
        <f>'Census demographics'!D62</f>
        <v>7468</v>
      </c>
      <c r="E63" s="186">
        <f>'Census demographics'!E62</f>
        <v>5.9938921372302729E-3</v>
      </c>
      <c r="F63" s="198">
        <f>'Census demographics'!F62</f>
        <v>181.22920275832064</v>
      </c>
      <c r="G63" s="109"/>
      <c r="H63" s="109"/>
      <c r="I63" s="109"/>
      <c r="J63" s="109"/>
      <c r="K63" s="109"/>
      <c r="L63" s="109"/>
      <c r="M63" s="109"/>
      <c r="N63" s="109"/>
      <c r="O63" s="109"/>
      <c r="P63" s="109"/>
      <c r="Q63" s="109"/>
      <c r="R63" s="109"/>
      <c r="S63" s="109"/>
      <c r="T63" s="109"/>
      <c r="U63" s="109"/>
      <c r="V63" s="109"/>
      <c r="W63" s="109"/>
      <c r="X63" s="109"/>
      <c r="Y63" s="109"/>
      <c r="Z63" s="109"/>
      <c r="AA63" s="109"/>
      <c r="AB63" s="109"/>
    </row>
    <row r="64" spans="1:28" x14ac:dyDescent="0.35">
      <c r="A64" s="175" t="s">
        <v>653</v>
      </c>
      <c r="B64" s="176">
        <f>'Census demographics'!B63</f>
        <v>1683</v>
      </c>
      <c r="C64" s="186">
        <f>'Census demographics'!C63</f>
        <v>7.5576252082500709E-3</v>
      </c>
      <c r="D64" s="176">
        <f>'Census demographics'!D63</f>
        <v>4838</v>
      </c>
      <c r="E64" s="186">
        <f>'Census demographics'!E63</f>
        <v>3.8830276057739768E-3</v>
      </c>
      <c r="F64" s="198">
        <f>'Census demographics'!F63</f>
        <v>194.63228118728921</v>
      </c>
      <c r="G64" s="109"/>
      <c r="H64" s="109"/>
      <c r="I64" s="109"/>
      <c r="J64" s="195"/>
      <c r="K64" s="196"/>
      <c r="L64" s="196"/>
      <c r="M64" s="196"/>
      <c r="N64" s="196"/>
      <c r="O64" s="196"/>
      <c r="P64" s="196"/>
      <c r="Q64" s="196"/>
      <c r="R64" s="196"/>
      <c r="S64" s="196"/>
      <c r="T64" s="196"/>
      <c r="U64" s="196"/>
      <c r="V64" s="196"/>
      <c r="W64" s="196"/>
      <c r="X64" s="196"/>
      <c r="Y64" s="196"/>
      <c r="Z64" s="196"/>
      <c r="AA64" s="196"/>
      <c r="AB64" s="196"/>
    </row>
    <row r="65" spans="1:28" x14ac:dyDescent="0.35">
      <c r="A65" s="175" t="s">
        <v>654</v>
      </c>
      <c r="B65" s="176">
        <f>'Census demographics'!B64</f>
        <v>2554</v>
      </c>
      <c r="C65" s="186">
        <f>'Census demographics'!C64</f>
        <v>1.1468909555478716E-2</v>
      </c>
      <c r="D65" s="176">
        <f>'Census demographics'!D64</f>
        <v>8797</v>
      </c>
      <c r="E65" s="186">
        <f>'Census demographics'!E64</f>
        <v>7.0605609441905075E-3</v>
      </c>
      <c r="F65" s="198">
        <f>'Census demographics'!F64</f>
        <v>162.4362376606272</v>
      </c>
      <c r="G65" s="109"/>
      <c r="H65" s="109"/>
      <c r="I65" s="109"/>
      <c r="J65" s="195"/>
      <c r="K65" s="196"/>
      <c r="L65" s="196"/>
      <c r="M65" s="196"/>
      <c r="N65" s="196"/>
      <c r="O65" s="196"/>
      <c r="P65" s="196"/>
      <c r="Q65" s="196"/>
      <c r="R65" s="196"/>
      <c r="S65" s="196"/>
      <c r="T65" s="196"/>
      <c r="U65" s="196"/>
      <c r="V65" s="196"/>
      <c r="W65" s="196"/>
      <c r="X65" s="196"/>
      <c r="Y65" s="196"/>
      <c r="Z65" s="196"/>
      <c r="AA65" s="196"/>
      <c r="AB65" s="196"/>
    </row>
    <row r="66" spans="1:28" x14ac:dyDescent="0.35">
      <c r="A66" s="175" t="s">
        <v>655</v>
      </c>
      <c r="B66" s="176">
        <f>'Census demographics'!B65</f>
        <v>2737</v>
      </c>
      <c r="C66" s="186">
        <f>'Census demographics'!C65</f>
        <v>1.2290683419477387E-2</v>
      </c>
      <c r="D66" s="176">
        <f>'Census demographics'!D65</f>
        <v>7581</v>
      </c>
      <c r="E66" s="186">
        <f>'Census demographics'!E65</f>
        <v>6.0845870771749728E-3</v>
      </c>
      <c r="F66" s="198">
        <f>'Census demographics'!F65</f>
        <v>201.99700100575856</v>
      </c>
      <c r="G66" s="109"/>
      <c r="H66" s="109"/>
      <c r="I66" s="109"/>
      <c r="J66" s="195"/>
      <c r="K66" s="196"/>
      <c r="L66" s="196"/>
      <c r="M66" s="196"/>
      <c r="N66" s="196"/>
      <c r="O66" s="196"/>
      <c r="P66" s="196"/>
      <c r="Q66" s="196"/>
      <c r="R66" s="196"/>
      <c r="S66" s="196"/>
      <c r="T66" s="196"/>
      <c r="U66" s="196"/>
      <c r="V66" s="196"/>
      <c r="W66" s="196"/>
      <c r="X66" s="196"/>
      <c r="Y66" s="196"/>
      <c r="Z66" s="196"/>
      <c r="AA66" s="196"/>
      <c r="AB66" s="196"/>
    </row>
    <row r="67" spans="1:28" x14ac:dyDescent="0.35">
      <c r="A67" s="175" t="s">
        <v>656</v>
      </c>
      <c r="B67" s="176">
        <f>'Census demographics'!B66</f>
        <v>151315</v>
      </c>
      <c r="C67" s="186">
        <f>'Census demographics'!C66</f>
        <v>0.67949023077026705</v>
      </c>
      <c r="D67" s="176">
        <f>'Census demographics'!D66</f>
        <v>1078396</v>
      </c>
      <c r="E67" s="186">
        <f>'Census demographics'!E66</f>
        <v>0.86553150846552995</v>
      </c>
      <c r="F67" s="198">
        <f>'Census demographics'!F66</f>
        <v>78.505545335364062</v>
      </c>
      <c r="G67" s="109"/>
      <c r="H67" s="109"/>
      <c r="I67" s="109"/>
      <c r="J67" s="195"/>
      <c r="K67" s="196"/>
      <c r="L67" s="196"/>
      <c r="M67" s="196"/>
      <c r="N67" s="196"/>
      <c r="O67" s="196"/>
      <c r="P67" s="196"/>
      <c r="Q67" s="196"/>
      <c r="R67" s="196"/>
      <c r="S67" s="196"/>
      <c r="T67" s="196"/>
      <c r="U67" s="196"/>
      <c r="V67" s="196"/>
      <c r="W67" s="196"/>
      <c r="X67" s="196"/>
      <c r="Y67" s="196"/>
      <c r="Z67" s="196"/>
      <c r="AA67" s="196"/>
      <c r="AB67" s="196"/>
    </row>
    <row r="68" spans="1:28" x14ac:dyDescent="0.35">
      <c r="A68" s="175" t="s">
        <v>657</v>
      </c>
      <c r="B68" s="176">
        <f>'Census demographics'!B67</f>
        <v>1661</v>
      </c>
      <c r="C68" s="186">
        <f>'Census demographics'!C67</f>
        <v>7.458832721867717E-3</v>
      </c>
      <c r="D68" s="176">
        <f>'Census demographics'!D67</f>
        <v>5309</v>
      </c>
      <c r="E68" s="186">
        <f>'Census demographics'!E67</f>
        <v>4.2610569572248957E-3</v>
      </c>
      <c r="F68" s="198">
        <f>'Census demographics'!F67</f>
        <v>175.04653884573841</v>
      </c>
      <c r="G68" s="109"/>
      <c r="H68" s="109"/>
      <c r="I68" s="109"/>
      <c r="J68" s="195"/>
      <c r="K68" s="196"/>
      <c r="L68" s="196"/>
      <c r="M68" s="196"/>
      <c r="N68" s="196"/>
      <c r="O68" s="196"/>
      <c r="P68" s="196"/>
      <c r="Q68" s="196"/>
      <c r="R68" s="196"/>
      <c r="S68" s="196"/>
      <c r="T68" s="196"/>
      <c r="U68" s="196"/>
      <c r="V68" s="196"/>
      <c r="W68" s="196"/>
      <c r="X68" s="196"/>
      <c r="Y68" s="196"/>
      <c r="Z68" s="196"/>
      <c r="AA68" s="196"/>
      <c r="AB68" s="196"/>
    </row>
    <row r="69" spans="1:28" x14ac:dyDescent="0.35">
      <c r="A69" s="175" t="s">
        <v>658</v>
      </c>
      <c r="B69" s="176">
        <f>'Census demographics'!B68</f>
        <v>596</v>
      </c>
      <c r="C69" s="186">
        <f>'Census demographics'!C68</f>
        <v>2.676378267449223E-3</v>
      </c>
      <c r="D69" s="176">
        <f>'Census demographics'!D68</f>
        <v>1330</v>
      </c>
      <c r="E69" s="186">
        <f>'Census demographics'!E68</f>
        <v>1.067471417048241E-3</v>
      </c>
      <c r="F69" s="198">
        <f>'Census demographics'!F68</f>
        <v>250.72130501160507</v>
      </c>
      <c r="G69" s="109"/>
      <c r="H69" s="109"/>
      <c r="I69" s="109"/>
      <c r="J69" s="195"/>
      <c r="K69" s="196"/>
      <c r="L69" s="196"/>
      <c r="M69" s="196"/>
      <c r="N69" s="196"/>
      <c r="O69" s="196"/>
      <c r="P69" s="196"/>
      <c r="Q69" s="196"/>
      <c r="R69" s="196"/>
      <c r="S69" s="196"/>
      <c r="T69" s="196"/>
      <c r="U69" s="196"/>
      <c r="V69" s="196"/>
      <c r="W69" s="196"/>
      <c r="X69" s="196"/>
      <c r="Y69" s="196"/>
      <c r="Z69" s="196"/>
      <c r="AA69" s="196"/>
      <c r="AB69" s="196"/>
    </row>
    <row r="70" spans="1:28" x14ac:dyDescent="0.35">
      <c r="A70" s="175" t="s">
        <v>659</v>
      </c>
      <c r="B70" s="176">
        <f>'Census demographics'!B69</f>
        <v>524</v>
      </c>
      <c r="C70" s="186">
        <f>'Census demographics'!C69</f>
        <v>2.3530574029251559E-3</v>
      </c>
      <c r="D70" s="176">
        <f>'Census demographics'!D69</f>
        <v>1205</v>
      </c>
      <c r="E70" s="186">
        <f>'Census demographics'!E69</f>
        <v>9.6714515604746638E-4</v>
      </c>
      <c r="F70" s="198">
        <f>'Census demographics'!F69</f>
        <v>243.2993008558966</v>
      </c>
      <c r="G70" s="109"/>
      <c r="H70" s="109"/>
      <c r="I70" s="109"/>
      <c r="J70" s="195"/>
      <c r="K70" s="196"/>
      <c r="L70" s="196"/>
      <c r="M70" s="196"/>
      <c r="N70" s="196"/>
      <c r="O70" s="196"/>
      <c r="P70" s="196"/>
      <c r="Q70" s="196"/>
      <c r="R70" s="196"/>
      <c r="S70" s="196"/>
      <c r="T70" s="196"/>
      <c r="U70" s="196"/>
      <c r="V70" s="196"/>
      <c r="W70" s="196"/>
      <c r="X70" s="196"/>
      <c r="Y70" s="196"/>
      <c r="Z70" s="196"/>
      <c r="AA70" s="196"/>
      <c r="AB70" s="196"/>
    </row>
    <row r="71" spans="1:28" x14ac:dyDescent="0.35">
      <c r="A71" s="175" t="s">
        <v>660</v>
      </c>
      <c r="B71" s="176">
        <f>'Census demographics'!B70</f>
        <v>12818</v>
      </c>
      <c r="C71" s="186">
        <f>'Census demographics'!C70</f>
        <v>5.7560095020409631E-2</v>
      </c>
      <c r="D71" s="176">
        <f>'Census demographics'!D70</f>
        <v>35316</v>
      </c>
      <c r="E71" s="186">
        <f>'Census demographics'!E70</f>
        <v>2.8344977868026824E-2</v>
      </c>
      <c r="F71" s="198">
        <f>'Census demographics'!F70</f>
        <v>203.06981818228019</v>
      </c>
      <c r="G71" s="109"/>
      <c r="H71" s="109"/>
      <c r="I71" s="109"/>
      <c r="J71" s="195"/>
      <c r="K71" s="196"/>
      <c r="L71" s="196"/>
      <c r="M71" s="196"/>
      <c r="N71" s="196"/>
      <c r="O71" s="196"/>
      <c r="P71" s="196"/>
      <c r="Q71" s="196"/>
      <c r="R71" s="196"/>
      <c r="S71" s="196"/>
      <c r="T71" s="196"/>
      <c r="U71" s="196"/>
      <c r="V71" s="196"/>
      <c r="W71" s="196"/>
      <c r="X71" s="196"/>
      <c r="Y71" s="196"/>
      <c r="Z71" s="196"/>
      <c r="AA71" s="196"/>
      <c r="AB71" s="196"/>
    </row>
    <row r="72" spans="1:28" x14ac:dyDescent="0.35">
      <c r="A72" s="175" t="s">
        <v>663</v>
      </c>
      <c r="B72" s="176">
        <f>'Census demographics'!B71</f>
        <v>5004</v>
      </c>
      <c r="C72" s="186">
        <f>'Census demographics'!C71</f>
        <v>2.2470800084422669E-2</v>
      </c>
      <c r="D72" s="176">
        <f>'Census demographics'!D71</f>
        <v>8262</v>
      </c>
      <c r="E72" s="186">
        <f>'Census demographics'!E71</f>
        <v>6.6311645471071922E-3</v>
      </c>
      <c r="F72" s="198">
        <f>'Census demographics'!F71</f>
        <v>338.86657350744565</v>
      </c>
      <c r="G72" s="109"/>
      <c r="H72" s="109"/>
      <c r="I72" s="109"/>
      <c r="J72" s="195"/>
      <c r="K72" s="196"/>
      <c r="L72" s="196"/>
      <c r="M72" s="196"/>
      <c r="N72" s="196"/>
      <c r="O72" s="196"/>
      <c r="P72" s="196"/>
      <c r="Q72" s="196"/>
      <c r="R72" s="196"/>
      <c r="S72" s="196"/>
      <c r="T72" s="196"/>
      <c r="U72" s="196"/>
      <c r="V72" s="196"/>
      <c r="W72" s="196"/>
      <c r="X72" s="196"/>
      <c r="Y72" s="196"/>
      <c r="Z72" s="196"/>
      <c r="AA72" s="196"/>
      <c r="AB72" s="196"/>
    </row>
    <row r="73" spans="1:28" x14ac:dyDescent="0.35">
      <c r="A73" s="109"/>
      <c r="B73" s="109"/>
      <c r="C73" s="109"/>
      <c r="D73" s="109"/>
      <c r="E73" s="109"/>
      <c r="F73" s="109"/>
      <c r="G73" s="109"/>
      <c r="H73" s="109"/>
      <c r="I73" s="109"/>
      <c r="J73" s="195"/>
      <c r="K73" s="196"/>
      <c r="L73" s="196"/>
      <c r="M73" s="196"/>
      <c r="N73" s="196"/>
      <c r="O73" s="196"/>
      <c r="P73" s="196"/>
      <c r="Q73" s="196"/>
      <c r="R73" s="196"/>
      <c r="S73" s="196"/>
      <c r="T73" s="196"/>
      <c r="U73" s="196"/>
      <c r="V73" s="196"/>
      <c r="W73" s="196"/>
      <c r="X73" s="196"/>
      <c r="Y73" s="196"/>
      <c r="Z73" s="196"/>
      <c r="AA73" s="196"/>
      <c r="AB73" s="196"/>
    </row>
    <row r="74" spans="1:28" x14ac:dyDescent="0.35">
      <c r="A74" s="109"/>
      <c r="B74" s="109"/>
      <c r="C74" s="109"/>
      <c r="D74" s="109"/>
      <c r="E74" s="109"/>
      <c r="F74" s="109"/>
      <c r="G74" s="109"/>
      <c r="H74" s="109"/>
      <c r="I74" s="109"/>
      <c r="J74" s="195"/>
      <c r="K74" s="196"/>
      <c r="L74" s="196"/>
      <c r="M74" s="196"/>
      <c r="N74" s="196"/>
      <c r="O74" s="196"/>
      <c r="P74" s="196"/>
      <c r="Q74" s="196"/>
      <c r="R74" s="196"/>
      <c r="S74" s="196"/>
      <c r="T74" s="196"/>
      <c r="U74" s="196"/>
      <c r="V74" s="196"/>
      <c r="W74" s="196"/>
      <c r="X74" s="196"/>
      <c r="Y74" s="196"/>
      <c r="Z74" s="196"/>
      <c r="AA74" s="196"/>
      <c r="AB74" s="196"/>
    </row>
    <row r="75" spans="1:28" x14ac:dyDescent="0.35">
      <c r="G75" s="109"/>
      <c r="H75" s="109"/>
      <c r="I75" s="109"/>
      <c r="J75" s="195"/>
      <c r="K75" s="196"/>
      <c r="L75" s="196"/>
      <c r="M75" s="196"/>
      <c r="N75" s="196"/>
      <c r="O75" s="196"/>
      <c r="P75" s="196"/>
      <c r="Q75" s="196"/>
      <c r="R75" s="196"/>
      <c r="S75" s="196"/>
      <c r="T75" s="196"/>
      <c r="U75" s="196"/>
      <c r="V75" s="196"/>
      <c r="W75" s="196"/>
      <c r="X75" s="196"/>
      <c r="Y75" s="196"/>
      <c r="Z75" s="196"/>
      <c r="AA75" s="196"/>
      <c r="AB75" s="196"/>
    </row>
    <row r="76" spans="1:28" x14ac:dyDescent="0.35">
      <c r="A76" s="193" t="s">
        <v>644</v>
      </c>
      <c r="B76" s="109"/>
      <c r="C76" s="109"/>
      <c r="D76" s="109"/>
      <c r="E76" s="109"/>
      <c r="F76" s="109"/>
      <c r="G76" s="109"/>
      <c r="H76" s="109"/>
      <c r="I76" s="109"/>
      <c r="J76" s="195"/>
      <c r="K76" s="196"/>
      <c r="L76" s="196"/>
      <c r="M76" s="196"/>
      <c r="N76" s="196"/>
      <c r="O76" s="196"/>
      <c r="P76" s="196"/>
      <c r="Q76" s="196"/>
      <c r="R76" s="196"/>
      <c r="S76" s="196"/>
      <c r="T76" s="196"/>
      <c r="U76" s="196"/>
      <c r="V76" s="196"/>
      <c r="W76" s="196"/>
      <c r="X76" s="196"/>
      <c r="Y76" s="196"/>
      <c r="Z76" s="196"/>
      <c r="AA76" s="196"/>
      <c r="AB76" s="196"/>
    </row>
    <row r="77" spans="1:28" x14ac:dyDescent="0.35">
      <c r="A77" s="172" t="s">
        <v>645</v>
      </c>
      <c r="B77" s="173" t="s">
        <v>367</v>
      </c>
      <c r="C77" s="173"/>
      <c r="D77" s="173" t="s">
        <v>368</v>
      </c>
      <c r="E77" s="173"/>
      <c r="F77" s="109"/>
      <c r="G77" s="109"/>
      <c r="H77" s="109"/>
      <c r="I77" s="109"/>
      <c r="J77" s="195"/>
      <c r="K77" s="196"/>
      <c r="L77" s="196"/>
      <c r="M77" s="196"/>
      <c r="N77" s="196"/>
      <c r="O77" s="196"/>
      <c r="P77" s="196"/>
      <c r="Q77" s="196"/>
      <c r="R77" s="196"/>
      <c r="S77" s="196"/>
      <c r="T77" s="196"/>
      <c r="U77" s="196"/>
      <c r="V77" s="196"/>
      <c r="W77" s="196"/>
      <c r="X77" s="196"/>
      <c r="Y77" s="196"/>
      <c r="Z77" s="196"/>
      <c r="AA77" s="196"/>
      <c r="AB77" s="196"/>
    </row>
    <row r="78" spans="1:28" x14ac:dyDescent="0.35">
      <c r="A78" s="172"/>
      <c r="B78" s="174" t="s">
        <v>73</v>
      </c>
      <c r="C78" s="174" t="s">
        <v>74</v>
      </c>
      <c r="D78" s="174" t="s">
        <v>73</v>
      </c>
      <c r="E78" s="174" t="s">
        <v>74</v>
      </c>
      <c r="F78" s="109"/>
      <c r="G78" s="109"/>
      <c r="H78" s="109"/>
      <c r="I78" s="109"/>
      <c r="J78" s="109"/>
      <c r="K78" s="109"/>
      <c r="L78" s="109"/>
      <c r="M78" s="196"/>
      <c r="N78" s="196"/>
      <c r="O78" s="196"/>
      <c r="P78" s="196"/>
      <c r="Q78" s="196"/>
      <c r="R78" s="196"/>
      <c r="S78" s="196"/>
      <c r="T78" s="196"/>
      <c r="U78" s="196"/>
      <c r="V78" s="196"/>
      <c r="W78" s="196"/>
      <c r="X78" s="196"/>
      <c r="Y78" s="196"/>
      <c r="Z78" s="196"/>
      <c r="AA78" s="196"/>
      <c r="AB78" s="196"/>
    </row>
    <row r="79" spans="1:28" x14ac:dyDescent="0.35">
      <c r="A79" s="175" t="str">
        <f>INDEX($A$55:$A$72,MATCH(LARGE($C$55:$C$72,1),$C$55:$C$72,0))</f>
        <v>White English, Welsh, Scottish, Northern Irish or British</v>
      </c>
      <c r="B79" s="176">
        <f>VLOOKUP($A79,$A$55:$F$72,2,FALSE)</f>
        <v>151315</v>
      </c>
      <c r="C79" s="186">
        <f>VLOOKUP($A79,$A$55:$F$72,3,FALSE)</f>
        <v>0.67949023077026705</v>
      </c>
      <c r="D79" s="176">
        <f>VLOOKUP($A79,$A$55:$F$72,4,FALSE)</f>
        <v>1078396</v>
      </c>
      <c r="E79" s="186">
        <f>VLOOKUP($A79,$A$55:$F$72,5,FALSE)</f>
        <v>0.86553150846552995</v>
      </c>
      <c r="F79" s="109"/>
      <c r="G79" s="109"/>
      <c r="H79" s="109"/>
      <c r="I79" s="109"/>
      <c r="J79" s="109"/>
      <c r="K79" s="109"/>
      <c r="L79" s="109"/>
      <c r="M79" s="196"/>
      <c r="N79" s="196"/>
      <c r="O79" s="196"/>
      <c r="P79" s="196"/>
      <c r="Q79" s="196"/>
      <c r="R79" s="196"/>
      <c r="S79" s="196"/>
      <c r="T79" s="196"/>
      <c r="U79" s="196"/>
      <c r="V79" s="196"/>
      <c r="W79" s="196"/>
      <c r="X79" s="196"/>
      <c r="Y79" s="196"/>
      <c r="Z79" s="196"/>
      <c r="AA79" s="196"/>
      <c r="AB79" s="196"/>
    </row>
    <row r="80" spans="1:28" x14ac:dyDescent="0.35">
      <c r="A80" s="175" t="str">
        <f>INDEX($A$55:$A$72,MATCH(LARGE($C$55:$C$72,2),$C$55:$C$72,0))</f>
        <v>Other White ethnic groups</v>
      </c>
      <c r="B80" s="176">
        <f>VLOOKUP($A80,$A$55:$F$72,2,FALSE)</f>
        <v>12818</v>
      </c>
      <c r="C80" s="186">
        <f>VLOOKUP($A80,$A$55:$F$72,3,FALSE)</f>
        <v>5.7560095020409631E-2</v>
      </c>
      <c r="D80" s="176">
        <f>VLOOKUP($A80,$A$55:$F$72,4,FALSE)</f>
        <v>35316</v>
      </c>
      <c r="E80" s="186">
        <f>VLOOKUP($A80,$A$55:$F$72,5,FALSE)</f>
        <v>2.8344977868026824E-2</v>
      </c>
      <c r="F80" s="109"/>
      <c r="G80" s="109"/>
      <c r="H80" s="109"/>
      <c r="I80" s="169"/>
      <c r="J80" s="169"/>
      <c r="K80" s="169"/>
      <c r="L80" s="169"/>
      <c r="M80" s="196"/>
      <c r="N80" s="196"/>
      <c r="O80" s="196"/>
      <c r="P80" s="196"/>
      <c r="Q80" s="196"/>
      <c r="R80" s="196"/>
      <c r="S80" s="196"/>
      <c r="T80" s="196"/>
      <c r="U80" s="196"/>
      <c r="V80" s="196"/>
      <c r="W80" s="196"/>
      <c r="X80" s="196"/>
      <c r="Y80" s="196"/>
      <c r="Z80" s="196"/>
      <c r="AA80" s="196"/>
      <c r="AB80" s="196"/>
    </row>
    <row r="81" spans="1:28" x14ac:dyDescent="0.35">
      <c r="A81" s="175" t="str">
        <f>INDEX($A$55:$A$72,MATCH(LARGE($C$55:$C$72,3),$C$55:$C$72,0))</f>
        <v>Black African</v>
      </c>
      <c r="B81" s="176">
        <f>VLOOKUP($A81,$A$55:$F$72,2,FALSE)</f>
        <v>8033</v>
      </c>
      <c r="C81" s="186">
        <f>VLOOKUP($A81,$A$55:$F$72,3,FALSE)</f>
        <v>3.6072729232247663E-2</v>
      </c>
      <c r="D81" s="176">
        <f>VLOOKUP($A81,$A$55:$F$72,4,FALSE)</f>
        <v>14743</v>
      </c>
      <c r="E81" s="186">
        <f>VLOOKUP($A81,$A$55:$F$72,5,FALSE)</f>
        <v>1.183288052747535E-2</v>
      </c>
      <c r="F81" s="109"/>
      <c r="G81" s="109"/>
      <c r="H81" s="109"/>
      <c r="I81" s="169"/>
      <c r="J81" s="169"/>
      <c r="K81" s="169"/>
      <c r="L81" s="169"/>
      <c r="M81" s="196"/>
      <c r="N81" s="196"/>
      <c r="O81" s="196"/>
      <c r="P81" s="196"/>
      <c r="Q81" s="196"/>
      <c r="R81" s="196"/>
      <c r="S81" s="196"/>
      <c r="T81" s="196"/>
      <c r="U81" s="196"/>
      <c r="V81" s="196"/>
      <c r="W81" s="196"/>
      <c r="X81" s="196"/>
      <c r="Y81" s="196"/>
      <c r="Z81" s="196"/>
      <c r="AA81" s="196"/>
      <c r="AB81" s="196"/>
    </row>
    <row r="82" spans="1:28" x14ac:dyDescent="0.35">
      <c r="A82" s="175" t="str">
        <f>INDEX($A$55:$A$72,MATCH(LARGE($C$55:$C$72,4),$C$55:$C$72,0))</f>
        <v>Pakistani</v>
      </c>
      <c r="B82" s="176">
        <f>VLOOKUP($A82,$A$55:$F$72,2,FALSE)</f>
        <v>6794</v>
      </c>
      <c r="C82" s="186">
        <f>VLOOKUP($A82,$A$55:$F$72,3,FALSE)</f>
        <v>3.0508916021896006E-2</v>
      </c>
      <c r="D82" s="176">
        <f>VLOOKUP($A82,$A$55:$F$72,4,FALSE)</f>
        <v>14554</v>
      </c>
      <c r="E82" s="186">
        <f>VLOOKUP($A82,$A$55:$F$72,5,FALSE)</f>
        <v>1.1681187220842179E-2</v>
      </c>
      <c r="F82" s="109"/>
      <c r="G82" s="109"/>
      <c r="H82" s="109"/>
      <c r="I82" s="169"/>
      <c r="J82" s="169"/>
      <c r="K82" s="169"/>
      <c r="L82" s="169"/>
      <c r="M82" s="196"/>
      <c r="N82" s="196"/>
      <c r="O82" s="196"/>
      <c r="P82" s="196"/>
      <c r="Q82" s="196"/>
      <c r="R82" s="196"/>
      <c r="S82" s="196"/>
      <c r="T82" s="196"/>
      <c r="U82" s="196"/>
      <c r="V82" s="196"/>
      <c r="W82" s="196"/>
      <c r="X82" s="196"/>
      <c r="Y82" s="196"/>
      <c r="Z82" s="196"/>
      <c r="AA82" s="196"/>
      <c r="AB82" s="196"/>
    </row>
    <row r="83" spans="1:28" x14ac:dyDescent="0.35">
      <c r="A83" s="175" t="str">
        <f>INDEX($A$55:$A$72,MATCH(LARGE($C$55:$C$72,5),$C$55:$C$72,0))</f>
        <v>Indian</v>
      </c>
      <c r="B83" s="176">
        <f>VLOOKUP($A83,$A$55:$F$72,2,FALSE)</f>
        <v>6530</v>
      </c>
      <c r="C83" s="186">
        <f>VLOOKUP($A83,$A$55:$F$72,3,FALSE)</f>
        <v>2.9323406185307762E-2</v>
      </c>
      <c r="D83" s="176">
        <f>VLOOKUP($A83,$A$55:$F$72,4,FALSE)</f>
        <v>14101</v>
      </c>
      <c r="E83" s="186">
        <f>VLOOKUP($A83,$A$55:$F$72,5,FALSE)</f>
        <v>1.1317604850975372E-2</v>
      </c>
      <c r="F83" s="109"/>
    </row>
    <row r="86" spans="1:28" x14ac:dyDescent="0.35">
      <c r="A86" s="193" t="s">
        <v>854</v>
      </c>
    </row>
    <row r="88" spans="1:28" s="109" customFormat="1" x14ac:dyDescent="0.35">
      <c r="A88" s="182" t="s">
        <v>97</v>
      </c>
      <c r="B88" s="173" t="s">
        <v>367</v>
      </c>
      <c r="C88" s="173" t="s">
        <v>368</v>
      </c>
    </row>
    <row r="89" spans="1:28" s="109" customFormat="1" ht="15" customHeight="1" x14ac:dyDescent="0.35">
      <c r="A89" s="150" t="s">
        <v>5</v>
      </c>
      <c r="B89" s="177">
        <f>IF('Census demographics'!C22=0,0,IF('Census demographics'!C22&lt;0.005,"&lt;1%",'Census demographics'!C22))</f>
        <v>4.8607804203092568E-2</v>
      </c>
      <c r="C89" s="177">
        <f>IF('Census demographics'!E22=0,0,IF('Census demographics'!E22&lt;0.005,"&lt;1%",'Census demographics'!E22))</f>
        <v>5.3242596967266999E-2</v>
      </c>
    </row>
    <row r="90" spans="1:28" s="109" customFormat="1" x14ac:dyDescent="0.35">
      <c r="A90" s="150" t="s">
        <v>6</v>
      </c>
      <c r="B90" s="177">
        <f>IF('Census demographics'!C23=0,0,IF('Census demographics'!C23&lt;0.005,"&lt;1%",'Census demographics'!C23))</f>
        <v>5.2884572188429367E-2</v>
      </c>
      <c r="C90" s="177">
        <f>IF('Census demographics'!E23=0,0,IF('Census demographics'!E23&lt;0.005,"&lt;1%",'Census demographics'!E23))</f>
        <v>5.9654505071812892E-2</v>
      </c>
    </row>
    <row r="91" spans="1:28" s="109" customFormat="1" x14ac:dyDescent="0.35">
      <c r="A91" s="150" t="s">
        <v>7</v>
      </c>
      <c r="B91" s="177">
        <f>IF('Census demographics'!C24=0,0,IF('Census demographics'!C24&lt;0.005,"&lt;1%",'Census demographics'!C24))</f>
        <v>5.3194548019299362E-2</v>
      </c>
      <c r="C91" s="177">
        <f>IF('Census demographics'!E24=0,0,IF('Census demographics'!E24&lt;0.005,"&lt;1%",'Census demographics'!E24))</f>
        <v>6.0710045777556232E-2</v>
      </c>
      <c r="D91" s="199"/>
    </row>
    <row r="92" spans="1:28" s="109" customFormat="1" x14ac:dyDescent="0.35">
      <c r="A92" s="150" t="s">
        <v>183</v>
      </c>
      <c r="B92" s="177">
        <f>IF('Census demographics'!C25=0,0,IF('Census demographics'!C25&lt;0.005,"&lt;1%",'Census demographics'!C25))</f>
        <v>8.2206488827392885E-2</v>
      </c>
      <c r="C92" s="177">
        <f>IF('Census demographics'!E25=0,0,IF('Census demographics'!E25&lt;0.005,"&lt;1%",'Census demographics'!E25))</f>
        <v>5.9070947586584439E-2</v>
      </c>
      <c r="D92" s="199"/>
    </row>
    <row r="93" spans="1:28" s="109" customFormat="1" x14ac:dyDescent="0.35">
      <c r="A93" s="175" t="s">
        <v>8</v>
      </c>
      <c r="B93" s="177">
        <f>IF('Census demographics'!C26=0,0,IF('Census demographics'!C26&lt;0.005,"&lt;1%",'Census demographics'!C26))</f>
        <v>0.13896800510337021</v>
      </c>
      <c r="C93" s="177">
        <f>IF('Census demographics'!E26=0,0,IF('Census demographics'!E26&lt;0.005,"&lt;1%",'Census demographics'!E26))</f>
        <v>6.781146678418086E-2</v>
      </c>
    </row>
    <row r="94" spans="1:28" s="109" customFormat="1" x14ac:dyDescent="0.35">
      <c r="A94" s="175" t="s">
        <v>9</v>
      </c>
      <c r="B94" s="177">
        <f>IF('Census demographics'!C27=0,0,IF('Census demographics'!C27&lt;0.005,"&lt;1%",'Census demographics'!C27))</f>
        <v>9.4358439878166014E-2</v>
      </c>
      <c r="C94" s="177">
        <f>IF('Census demographics'!E27=0,0,IF('Census demographics'!E27&lt;0.005,"&lt;1%",'Census demographics'!E27))</f>
        <v>6.7289716625448401E-2</v>
      </c>
    </row>
    <row r="95" spans="1:28" s="109" customFormat="1" x14ac:dyDescent="0.35">
      <c r="A95" s="175" t="s">
        <v>10</v>
      </c>
      <c r="B95" s="177">
        <f>IF('Census demographics'!C28=0,0,IF('Census demographics'!C28&lt;0.005,"&lt;1%",'Census demographics'!C28))</f>
        <v>8.0059120028032602E-2</v>
      </c>
      <c r="C95" s="177">
        <f>IF('Census demographics'!E28=0,0,IF('Census demographics'!E28&lt;0.005,"&lt;1%",'Census demographics'!E28))</f>
        <v>7.0336737552445919E-2</v>
      </c>
    </row>
    <row r="96" spans="1:28" s="109" customFormat="1" x14ac:dyDescent="0.35">
      <c r="A96" s="175" t="s">
        <v>11</v>
      </c>
      <c r="B96" s="177">
        <f>IF('Census demographics'!C29=0,0,IF('Census demographics'!C29&lt;0.005,"&lt;1%",'Census demographics'!C29))</f>
        <v>6.8882020503328867E-2</v>
      </c>
      <c r="C96" s="177">
        <f>IF('Census demographics'!E29=0,0,IF('Census demographics'!E29&lt;0.005,"&lt;1%",'Census demographics'!E29))</f>
        <v>6.5592824570740088E-2</v>
      </c>
    </row>
    <row r="97" spans="1:3" s="109" customFormat="1" x14ac:dyDescent="0.35">
      <c r="A97" s="175" t="s">
        <v>12</v>
      </c>
      <c r="B97" s="177">
        <f>IF('Census demographics'!C30=0,0,IF('Census demographics'!C30&lt;0.005,"&lt;1%",'Census demographics'!C30))</f>
        <v>5.92188609062076E-2</v>
      </c>
      <c r="C97" s="177">
        <f>IF('Census demographics'!E30=0,0,IF('Census demographics'!E30&lt;0.005,"&lt;1%",'Census demographics'!E30))</f>
        <v>6.0434722232255877E-2</v>
      </c>
    </row>
    <row r="98" spans="1:3" s="109" customFormat="1" x14ac:dyDescent="0.35">
      <c r="A98" s="175" t="s">
        <v>13</v>
      </c>
      <c r="B98" s="177">
        <f>IF('Census demographics'!C31=0,0,IF('Census demographics'!C31&lt;0.005,"&lt;1%",'Census demographics'!C31))</f>
        <v>5.2278097736727196E-2</v>
      </c>
      <c r="C98" s="177">
        <f>IF('Census demographics'!E31=0,0,IF('Census demographics'!E31&lt;0.005,"&lt;1%",'Census demographics'!E31))</f>
        <v>6.013933137315812E-2</v>
      </c>
    </row>
    <row r="99" spans="1:3" s="109" customFormat="1" x14ac:dyDescent="0.35">
      <c r="A99" s="175" t="s">
        <v>14</v>
      </c>
      <c r="B99" s="177">
        <f>IF('Census demographics'!C32=0,0,IF('Census demographics'!C32&lt;0.005,"&lt;1%",'Census demographics'!C32))</f>
        <v>5.2394900223721688E-2</v>
      </c>
      <c r="C99" s="177">
        <f>IF('Census demographics'!E32=0,0,IF('Census demographics'!E32&lt;0.005,"&lt;1%",'Census demographics'!E32))</f>
        <v>6.697425845255324E-2</v>
      </c>
    </row>
    <row r="100" spans="1:3" s="109" customFormat="1" x14ac:dyDescent="0.35">
      <c r="A100" s="175" t="s">
        <v>15</v>
      </c>
      <c r="B100" s="177">
        <f>IF('Census demographics'!C33=0,0,IF('Census demographics'!C33&lt;0.005,"&lt;1%",'Census demographics'!C33))</f>
        <v>4.9879154349994161E-2</v>
      </c>
      <c r="C100" s="177">
        <f>IF('Census demographics'!E33=0,0,IF('Census demographics'!E33&lt;0.005,"&lt;1%",'Census demographics'!E33))</f>
        <v>6.7265635848891517E-2</v>
      </c>
    </row>
    <row r="101" spans="1:3" s="109" customFormat="1" x14ac:dyDescent="0.35">
      <c r="A101" s="175" t="s">
        <v>16</v>
      </c>
      <c r="B101" s="177">
        <f>IF('Census demographics'!C34=0,0,IF('Census demographics'!C34&lt;0.005,"&lt;1%",'Census demographics'!C34))</f>
        <v>4.2866512726978681E-2</v>
      </c>
      <c r="C101" s="177">
        <f>IF('Census demographics'!E34=0,0,IF('Census demographics'!E34&lt;0.005,"&lt;1%",'Census demographics'!E34))</f>
        <v>5.8476955098181342E-2</v>
      </c>
    </row>
    <row r="102" spans="1:3" s="109" customFormat="1" x14ac:dyDescent="0.35">
      <c r="A102" s="175" t="s">
        <v>17</v>
      </c>
      <c r="B102" s="177">
        <f>IF('Census demographics'!C35=0,0,IF('Census demographics'!C35&lt;0.005,"&lt;1%",'Census demographics'!C35))</f>
        <v>3.4501657696834651E-2</v>
      </c>
      <c r="C102" s="177">
        <f>IF('Census demographics'!E35=0,0,IF('Census demographics'!E35&lt;0.005,"&lt;1%",'Census demographics'!E35))</f>
        <v>5.0261396829524956E-2</v>
      </c>
    </row>
    <row r="103" spans="1:3" s="109" customFormat="1" x14ac:dyDescent="0.35">
      <c r="A103" s="175" t="s">
        <v>18</v>
      </c>
      <c r="B103" s="177">
        <f>IF('Census demographics'!C36=0,0,IF('Census demographics'!C36&lt;0.005,"&lt;1%",'Census demographics'!C36))</f>
        <v>3.2632817904922777E-2</v>
      </c>
      <c r="C103" s="177">
        <f>IF('Census demographics'!E36=0,0,IF('Census demographics'!E36&lt;0.005,"&lt;1%",'Census demographics'!E36))</f>
        <v>4.9986073284224601E-2</v>
      </c>
    </row>
    <row r="104" spans="1:3" s="109" customFormat="1" x14ac:dyDescent="0.35">
      <c r="A104" s="175" t="s">
        <v>19</v>
      </c>
      <c r="B104" s="177">
        <f>IF('Census demographics'!C37=0,0,IF('Census demographics'!C37&lt;0.005,"&lt;1%",'Census demographics'!C37))</f>
        <v>2.2623743250163971E-2</v>
      </c>
      <c r="C104" s="177">
        <f>IF('Census demographics'!E37=0,0,IF('Census demographics'!E37&lt;0.005,"&lt;1%",'Census demographics'!E37))</f>
        <v>3.5722226637031257E-2</v>
      </c>
    </row>
    <row r="105" spans="1:3" s="109" customFormat="1" x14ac:dyDescent="0.35">
      <c r="A105" s="175" t="s">
        <v>20</v>
      </c>
      <c r="B105" s="177">
        <f>IF('Census demographics'!C38=0,0,IF('Census demographics'!C38&lt;0.005,"&lt;1%",'Census demographics'!C38))</f>
        <v>1.7331692108644284E-2</v>
      </c>
      <c r="C105" s="177">
        <f>IF('Census demographics'!E38=0,0,IF('Census demographics'!E38&lt;0.005,"&lt;1%",'Census demographics'!E38))</f>
        <v>2.4548746314637823E-2</v>
      </c>
    </row>
    <row r="106" spans="1:3" s="109" customFormat="1" x14ac:dyDescent="0.35">
      <c r="A106" s="175" t="s">
        <v>137</v>
      </c>
      <c r="B106" s="177">
        <f>IF('Census demographics'!C39=0,0,IF('Census demographics'!C39&lt;0.005,"&lt;1%",'Census demographics'!C39))</f>
        <v>1.7111564344693124E-2</v>
      </c>
      <c r="C106" s="177">
        <f>IF('Census demographics'!E39=0,0,IF('Census demographics'!E39&lt;0.005,"&lt;1%",'Census demographics'!E39))</f>
        <v>2.2481812993505414E-2</v>
      </c>
    </row>
    <row r="107" spans="1:3" s="109" customFormat="1" x14ac:dyDescent="0.35">
      <c r="A107" s="200"/>
      <c r="B107" s="200"/>
      <c r="C107" s="200"/>
    </row>
    <row r="108" spans="1:3" s="109" customFormat="1" ht="15" customHeight="1" x14ac:dyDescent="0.35">
      <c r="A108" s="182" t="s">
        <v>139</v>
      </c>
      <c r="B108" s="173" t="s">
        <v>367</v>
      </c>
      <c r="C108" s="173" t="s">
        <v>368</v>
      </c>
    </row>
    <row r="109" spans="1:3" s="109" customFormat="1" ht="15" customHeight="1" x14ac:dyDescent="0.35">
      <c r="A109" s="175" t="s">
        <v>184</v>
      </c>
      <c r="B109" s="177">
        <f>IF('Census demographics'!C45=0,0,IF('Census demographics'!C45&lt;0.005,"&lt;1%",'Census demographics'!C45))</f>
        <v>0.12130370157484205</v>
      </c>
      <c r="C109" s="177">
        <f>IF('Census demographics'!E45=0,0,IF('Census demographics'!E45&lt;0.005,"&lt;1%",'Census demographics'!E45))</f>
        <v>4.6903730932994096E-2</v>
      </c>
    </row>
    <row r="110" spans="1:3" s="109" customFormat="1" x14ac:dyDescent="0.35">
      <c r="A110" s="175" t="s">
        <v>185</v>
      </c>
      <c r="B110" s="177">
        <f>IF('Census demographics'!C46=0,0,IF('Census demographics'!C46&lt;0.005,"&lt;1%",'Census demographics'!C46))</f>
        <v>4.6665978112973697E-2</v>
      </c>
      <c r="C110" s="177">
        <f>IF('Census demographics'!E46=0,0,IF('Census demographics'!E46&lt;0.005,"&lt;1%",'Census demographics'!E46))</f>
        <v>1.6096345314964264E-2</v>
      </c>
    </row>
    <row r="111" spans="1:3" s="109" customFormat="1" ht="15" customHeight="1" x14ac:dyDescent="0.35">
      <c r="A111" s="175" t="s">
        <v>186</v>
      </c>
      <c r="B111" s="177">
        <f>IF('Census demographics'!C47=0,0,IF('Census demographics'!C47&lt;0.005,"&lt;1%",'Census demographics'!C47))</f>
        <v>4.2179901117702263E-2</v>
      </c>
      <c r="C111" s="177">
        <f>IF('Census demographics'!E47=0,0,IF('Census demographics'!E47&lt;0.005,"&lt;1%",'Census demographics'!E47))</f>
        <v>2.3022067764369731E-2</v>
      </c>
    </row>
    <row r="112" spans="1:3" s="109" customFormat="1" ht="15" customHeight="1" x14ac:dyDescent="0.35">
      <c r="A112" s="175" t="s">
        <v>33</v>
      </c>
      <c r="B112" s="177">
        <f>IF('Census demographics'!C48=0,0,IF('Census demographics'!C48&lt;0.005,"&lt;1%",'Census demographics'!C48))</f>
        <v>0.74953859418291879</v>
      </c>
      <c r="C112" s="177">
        <f>IF('Census demographics'!E48=0,0,IF('Census demographics'!E48&lt;0.005,"&lt;1%",'Census demographics'!E48))</f>
        <v>0.90017215986387733</v>
      </c>
    </row>
    <row r="113" spans="1:3" s="109" customFormat="1" ht="15" customHeight="1" x14ac:dyDescent="0.35">
      <c r="A113" s="175" t="s">
        <v>187</v>
      </c>
      <c r="B113" s="177">
        <f>IF('Census demographics'!C49=0,0,IF('Census demographics'!C49&lt;0.005,"&lt;1%",'Census demographics'!C49))</f>
        <v>4.0311825011563211E-2</v>
      </c>
      <c r="C113" s="177">
        <f>IF('Census demographics'!E49=0,0,IF('Census demographics'!E49&lt;0.005,"&lt;1%",'Census demographics'!E49))</f>
        <v>1.380569612379458E-2</v>
      </c>
    </row>
    <row r="114" spans="1:3" s="109" customFormat="1" ht="15" customHeight="1" x14ac:dyDescent="0.35">
      <c r="A114" s="200"/>
      <c r="B114" s="200"/>
      <c r="C114" s="200"/>
    </row>
    <row r="115" spans="1:3" s="109" customFormat="1" ht="15" customHeight="1" x14ac:dyDescent="0.35">
      <c r="A115" s="182" t="s">
        <v>225</v>
      </c>
      <c r="B115" s="173" t="s">
        <v>367</v>
      </c>
      <c r="C115" s="173" t="s">
        <v>368</v>
      </c>
    </row>
    <row r="116" spans="1:3" s="109" customFormat="1" ht="15" customHeight="1" x14ac:dyDescent="0.35">
      <c r="A116" s="175" t="s">
        <v>188</v>
      </c>
      <c r="B116" s="177">
        <f>IF('Census demographics'!C54=0,0,IF('Census demographics'!C54&lt;0.005,"&lt;1%",'Census demographics'!C54))</f>
        <v>2.4990008487172692E-2</v>
      </c>
      <c r="C116" s="177">
        <f>IF('Census demographics'!E54=0,0,IF('Census demographics'!E54&lt;0.005,"&lt;1%",'Census demographics'!E54))</f>
        <v>8.601572313162404E-3</v>
      </c>
    </row>
    <row r="117" spans="1:3" s="109" customFormat="1" ht="15" customHeight="1" x14ac:dyDescent="0.35">
      <c r="A117" s="175" t="s">
        <v>189</v>
      </c>
      <c r="B117" s="177">
        <f>IF('Census demographics'!C55=0,0,IF('Census demographics'!C55&lt;0.005,"&lt;1%",'Census demographics'!C55))</f>
        <v>1.7109062414398555E-2</v>
      </c>
      <c r="C117" s="177">
        <f>IF('Census demographics'!E55=0,0,IF('Census demographics'!E55&lt;0.005,"&lt;1%",'Census demographics'!E55))</f>
        <v>6.5549165887466036E-3</v>
      </c>
    </row>
    <row r="118" spans="1:3" s="109" customFormat="1" ht="15" customHeight="1" x14ac:dyDescent="0.35">
      <c r="A118" s="175" t="s">
        <v>190</v>
      </c>
      <c r="B118" s="177">
        <f>IF('Census demographics'!C56=0,0,IF('Census demographics'!C56&lt;0.005,"&lt;1%",'Census demographics'!C56))</f>
        <v>2.9323406185307762E-2</v>
      </c>
      <c r="C118" s="177">
        <f>IF('Census demographics'!E56=0,0,IF('Census demographics'!E56&lt;0.005,"&lt;1%",'Census demographics'!E56))</f>
        <v>1.1317604850975372E-2</v>
      </c>
    </row>
    <row r="119" spans="1:3" s="109" customFormat="1" ht="15" customHeight="1" x14ac:dyDescent="0.35">
      <c r="A119" s="175" t="s">
        <v>191</v>
      </c>
      <c r="B119" s="177">
        <f>IF('Census demographics'!C57=0,0,IF('Census demographics'!C57&lt;0.005,"&lt;1%",'Census demographics'!C57))</f>
        <v>3.0508916021896006E-2</v>
      </c>
      <c r="C119" s="177">
        <f>IF('Census demographics'!E57=0,0,IF('Census demographics'!E57&lt;0.005,"&lt;1%",'Census demographics'!E57))</f>
        <v>1.1681187220842179E-2</v>
      </c>
    </row>
    <row r="120" spans="1:3" s="109" customFormat="1" ht="15" customHeight="1" x14ac:dyDescent="0.35">
      <c r="A120" s="175" t="s">
        <v>192</v>
      </c>
      <c r="B120" s="177">
        <f>IF('Census demographics'!C58=0,0,IF('Census demographics'!C58&lt;0.005,"&lt;1%",'Census demographics'!C58))</f>
        <v>1.9372308466067027E-2</v>
      </c>
      <c r="C120" s="177">
        <f>IF('Census demographics'!E58=0,0,IF('Census demographics'!E58&lt;0.005,"&lt;1%",'Census demographics'!E58))</f>
        <v>8.7484499592675388E-3</v>
      </c>
    </row>
    <row r="121" spans="1:3" s="109" customFormat="1" ht="15" customHeight="1" x14ac:dyDescent="0.35">
      <c r="A121" s="175" t="s">
        <v>193</v>
      </c>
      <c r="B121" s="177">
        <f>IF('Census demographics'!C59=0,0,IF('Census demographics'!C59&lt;0.005,"&lt;1%",'Census demographics'!C59))</f>
        <v>3.6072729232247663E-2</v>
      </c>
      <c r="C121" s="177">
        <f>IF('Census demographics'!E59=0,0,IF('Census demographics'!E59&lt;0.005,"&lt;1%",'Census demographics'!E59))</f>
        <v>1.183288052747535E-2</v>
      </c>
    </row>
    <row r="122" spans="1:3" s="109" customFormat="1" ht="15" customHeight="1" x14ac:dyDescent="0.35">
      <c r="A122" s="175" t="s">
        <v>194</v>
      </c>
      <c r="B122" s="177" t="str">
        <f>IF('Census demographics'!C60=0,0,IF('Census demographics'!C60&lt;0.005,"&lt;1%",'Census demographics'!C60))</f>
        <v>&lt;1%</v>
      </c>
      <c r="C122" s="177" t="str">
        <f>IF('Census demographics'!E60=0,0,IF('Census demographics'!E60&lt;0.005,"&lt;1%",'Census demographics'!E60))</f>
        <v>&lt;1%</v>
      </c>
    </row>
    <row r="123" spans="1:3" s="109" customFormat="1" ht="15" customHeight="1" x14ac:dyDescent="0.35">
      <c r="A123" s="175" t="s">
        <v>195</v>
      </c>
      <c r="B123" s="177">
        <f>IF('Census demographics'!C61=0,0,IF('Census demographics'!C61&lt;0.005,"&lt;1%",'Census demographics'!C61))</f>
        <v>6.0353228044492547E-3</v>
      </c>
      <c r="C123" s="177" t="str">
        <f>IF('Census demographics'!E61=0,0,IF('Census demographics'!E61&lt;0.005,"&lt;1%",'Census demographics'!E61))</f>
        <v>&lt;1%</v>
      </c>
    </row>
    <row r="124" spans="1:3" s="109" customFormat="1" ht="15" customHeight="1" x14ac:dyDescent="0.35">
      <c r="A124" s="175" t="s">
        <v>520</v>
      </c>
      <c r="B124" s="177">
        <f>IF('Census demographics'!C62=0,0,IF('Census demographics'!C62&lt;0.005,"&lt;1%",'Census demographics'!C62))</f>
        <v>1.086268293449609E-2</v>
      </c>
      <c r="C124" s="177">
        <f>IF('Census demographics'!E62=0,0,IF('Census demographics'!E62&lt;0.005,"&lt;1%",'Census demographics'!E62))</f>
        <v>5.9938921372302729E-3</v>
      </c>
    </row>
    <row r="125" spans="1:3" s="109" customFormat="1" ht="15" customHeight="1" x14ac:dyDescent="0.35">
      <c r="A125" s="175" t="s">
        <v>196</v>
      </c>
      <c r="B125" s="177">
        <f>IF('Census demographics'!C63=0,0,IF('Census demographics'!C63&lt;0.005,"&lt;1%",'Census demographics'!C63))</f>
        <v>7.5576252082500709E-3</v>
      </c>
      <c r="C125" s="177" t="str">
        <f>IF('Census demographics'!E63=0,0,IF('Census demographics'!E63&lt;0.005,"&lt;1%",'Census demographics'!E63))</f>
        <v>&lt;1%</v>
      </c>
    </row>
    <row r="126" spans="1:3" s="109" customFormat="1" ht="15" customHeight="1" x14ac:dyDescent="0.35">
      <c r="A126" s="175" t="s">
        <v>197</v>
      </c>
      <c r="B126" s="177">
        <f>IF('Census demographics'!C64=0,0,IF('Census demographics'!C64&lt;0.005,"&lt;1%",'Census demographics'!C64))</f>
        <v>1.1468909555478716E-2</v>
      </c>
      <c r="C126" s="177">
        <f>IF('Census demographics'!E64=0,0,IF('Census demographics'!E64&lt;0.005,"&lt;1%",'Census demographics'!E64))</f>
        <v>7.0605609441905075E-3</v>
      </c>
    </row>
    <row r="127" spans="1:3" s="109" customFormat="1" ht="15" customHeight="1" x14ac:dyDescent="0.35">
      <c r="A127" s="175" t="s">
        <v>198</v>
      </c>
      <c r="B127" s="177">
        <f>IF('Census demographics'!C65=0,0,IF('Census demographics'!C65&lt;0.005,"&lt;1%",'Census demographics'!C65))</f>
        <v>1.2290683419477387E-2</v>
      </c>
      <c r="C127" s="177">
        <f>IF('Census demographics'!E65=0,0,IF('Census demographics'!E65&lt;0.005,"&lt;1%",'Census demographics'!E65))</f>
        <v>6.0845870771749728E-3</v>
      </c>
    </row>
    <row r="128" spans="1:3" s="109" customFormat="1" x14ac:dyDescent="0.35">
      <c r="A128" s="175" t="s">
        <v>528</v>
      </c>
      <c r="B128" s="177">
        <f>IF('Census demographics'!C66=0,0,IF('Census demographics'!C66&lt;0.005,"&lt;1%",'Census demographics'!C66))</f>
        <v>0.67949023077026705</v>
      </c>
      <c r="C128" s="177">
        <f>IF('Census demographics'!E66=0,0,IF('Census demographics'!E66&lt;0.005,"&lt;1%",'Census demographics'!E66))</f>
        <v>0.86553150846552995</v>
      </c>
    </row>
    <row r="129" spans="1:7" s="109" customFormat="1" ht="15" customHeight="1" x14ac:dyDescent="0.35">
      <c r="A129" s="175" t="s">
        <v>199</v>
      </c>
      <c r="B129" s="177">
        <f>IF('Census demographics'!C67=0,0,IF('Census demographics'!C67&lt;0.005,"&lt;1%",'Census demographics'!C67))</f>
        <v>7.458832721867717E-3</v>
      </c>
      <c r="C129" s="177" t="str">
        <f>IF('Census demographics'!E67=0,0,IF('Census demographics'!E67&lt;0.005,"&lt;1%",'Census demographics'!E67))</f>
        <v>&lt;1%</v>
      </c>
    </row>
    <row r="130" spans="1:7" s="109" customFormat="1" ht="15" customHeight="1" x14ac:dyDescent="0.35">
      <c r="A130" s="175" t="s">
        <v>200</v>
      </c>
      <c r="B130" s="177" t="str">
        <f>IF('Census demographics'!C68=0,0,IF('Census demographics'!C68&lt;0.005,"&lt;1%",'Census demographics'!C68))</f>
        <v>&lt;1%</v>
      </c>
      <c r="C130" s="177" t="str">
        <f>IF('Census demographics'!E68=0,0,IF('Census demographics'!E68&lt;0.005,"&lt;1%",'Census demographics'!E68))</f>
        <v>&lt;1%</v>
      </c>
    </row>
    <row r="131" spans="1:7" s="109" customFormat="1" ht="15" customHeight="1" x14ac:dyDescent="0.35">
      <c r="A131" s="175" t="s">
        <v>201</v>
      </c>
      <c r="B131" s="177" t="str">
        <f>IF('Census demographics'!C69=0,0,IF('Census demographics'!C69&lt;0.005,"&lt;1%",'Census demographics'!C69))</f>
        <v>&lt;1%</v>
      </c>
      <c r="C131" s="177" t="str">
        <f>IF('Census demographics'!E69=0,0,IF('Census demographics'!E69&lt;0.005,"&lt;1%",'Census demographics'!E69))</f>
        <v>&lt;1%</v>
      </c>
    </row>
    <row r="132" spans="1:7" s="109" customFormat="1" ht="15" customHeight="1" x14ac:dyDescent="0.35">
      <c r="A132" s="175" t="s">
        <v>202</v>
      </c>
      <c r="B132" s="177">
        <f>IF('Census demographics'!C70=0,0,IF('Census demographics'!C70&lt;0.005,"&lt;1%",'Census demographics'!C70))</f>
        <v>5.7560095020409631E-2</v>
      </c>
      <c r="C132" s="177">
        <f>IF('Census demographics'!E70=0,0,IF('Census demographics'!E70&lt;0.005,"&lt;1%",'Census demographics'!E70))</f>
        <v>2.8344977868026824E-2</v>
      </c>
    </row>
    <row r="133" spans="1:7" s="109" customFormat="1" ht="15" customHeight="1" x14ac:dyDescent="0.35">
      <c r="A133" s="175" t="s">
        <v>203</v>
      </c>
      <c r="B133" s="177">
        <f>IF('Census demographics'!C71=0,0,IF('Census demographics'!C71&lt;0.005,"&lt;1%",'Census demographics'!C71))</f>
        <v>2.2470800084422669E-2</v>
      </c>
      <c r="C133" s="177">
        <f>IF('Census demographics'!E71=0,0,IF('Census demographics'!E71&lt;0.005,"&lt;1%",'Census demographics'!E71))</f>
        <v>6.6311645471071922E-3</v>
      </c>
    </row>
    <row r="134" spans="1:7" s="109" customFormat="1" ht="15" customHeight="1" x14ac:dyDescent="0.35">
      <c r="A134" s="175" t="s">
        <v>204</v>
      </c>
      <c r="B134" s="177">
        <f>IF('Census demographics'!C72=0,0,IF('Census demographics'!C72&lt;0.005,"&lt;1%",'Census demographics'!C72))</f>
        <v>1.7841024927140542E-2</v>
      </c>
      <c r="C134" s="177">
        <f>IF('Census demographics'!E72=0,0,IF('Census demographics'!E72&lt;0.005,"&lt;1%",'Census demographics'!E72))</f>
        <v>7.1745315766873876E-3</v>
      </c>
    </row>
    <row r="135" spans="1:7" s="109" customFormat="1" ht="15" customHeight="1" x14ac:dyDescent="0.35">
      <c r="A135" s="200"/>
      <c r="B135" s="200"/>
      <c r="C135" s="200"/>
    </row>
    <row r="136" spans="1:7" s="109" customFormat="1" ht="15" customHeight="1" x14ac:dyDescent="0.35">
      <c r="A136" s="182" t="s">
        <v>100</v>
      </c>
      <c r="B136" s="173" t="s">
        <v>367</v>
      </c>
      <c r="C136" s="173" t="s">
        <v>368</v>
      </c>
    </row>
    <row r="137" spans="1:7" s="109" customFormat="1" x14ac:dyDescent="0.35">
      <c r="A137" s="150" t="s">
        <v>34</v>
      </c>
      <c r="B137" s="177">
        <f>IF('Census demographics'!C78=0,0,IF('Census demographics'!C78&lt;0.005,"&lt;1%",'Census demographics'!C78))</f>
        <v>7.8456210330561812E-2</v>
      </c>
      <c r="C137" s="177">
        <f>IF('Census demographics'!E78=0,0,IF('Census demographics'!E78&lt;0.005,"&lt;1%",'Census demographics'!E78))</f>
        <v>9.8661285156616874E-2</v>
      </c>
    </row>
    <row r="138" spans="1:7" s="109" customFormat="1" x14ac:dyDescent="0.35">
      <c r="A138" s="150" t="s">
        <v>35</v>
      </c>
      <c r="B138" s="177">
        <f>IF('Census demographics'!C79=0,0,IF('Census demographics'!C79&lt;0.005,"&lt;1%",'Census demographics'!C79))</f>
        <v>0.10339096491346279</v>
      </c>
      <c r="C138" s="177">
        <f>IF('Census demographics'!E79=0,0,IF('Census demographics'!E79&lt;0.005,"&lt;1%",'Census demographics'!E79))</f>
        <v>0.10955274225023219</v>
      </c>
    </row>
    <row r="139" spans="1:7" s="109" customFormat="1" x14ac:dyDescent="0.35">
      <c r="A139" s="150" t="s">
        <v>205</v>
      </c>
      <c r="B139" s="177">
        <f>IF('Census demographics'!C80=0,0,IF('Census demographics'!C80&lt;0.005,"&lt;1%",'Census demographics'!C80))</f>
        <v>6.9095009006338123E-2</v>
      </c>
      <c r="C139" s="177">
        <f>IF('Census demographics'!E80=0,0,IF('Census demographics'!E80&lt;0.005,"&lt;1%",'Census demographics'!E80))</f>
        <v>6.8407951213207821E-2</v>
      </c>
    </row>
    <row r="140" spans="1:7" s="109" customFormat="1" x14ac:dyDescent="0.35">
      <c r="A140" s="150" t="s">
        <v>206</v>
      </c>
      <c r="B140" s="177">
        <f>IF('Census demographics'!C81=0,0,IF('Census demographics'!C81&lt;0.005,"&lt;1%",'Census demographics'!C81))</f>
        <v>0.74905781574963726</v>
      </c>
      <c r="C140" s="177">
        <f>IF('Census demographics'!E81=0,0,IF('Census demographics'!E81&lt;0.005,"&lt;1%",'Census demographics'!E81))</f>
        <v>0.72337802137994311</v>
      </c>
    </row>
    <row r="141" spans="1:7" s="109" customFormat="1" x14ac:dyDescent="0.35">
      <c r="A141" s="180"/>
      <c r="B141" s="181"/>
      <c r="C141" s="181"/>
      <c r="D141" s="181"/>
      <c r="E141" s="181"/>
      <c r="F141" s="178"/>
      <c r="G141" s="178"/>
    </row>
    <row r="142" spans="1:7" ht="15" customHeight="1" x14ac:dyDescent="0.35">
      <c r="A142" s="182" t="s">
        <v>441</v>
      </c>
      <c r="B142" s="173" t="s">
        <v>367</v>
      </c>
      <c r="C142" s="173" t="s">
        <v>368</v>
      </c>
      <c r="D142" s="109"/>
    </row>
    <row r="143" spans="1:7" x14ac:dyDescent="0.35">
      <c r="A143" s="175" t="s">
        <v>445</v>
      </c>
      <c r="B143" s="177">
        <f>IF('Census demographics'!C93=0,0,IF('Census demographics'!C93&lt;0.005,"&lt;1%",'Census demographics'!C93))</f>
        <v>0.99012112058579815</v>
      </c>
      <c r="C143" s="177">
        <f>IF('Census demographics'!E93=0,0,IF('Census demographics'!E93&lt;0.005,"&lt;1%",'Census demographics'!E93))</f>
        <v>0.9949312338452303</v>
      </c>
    </row>
    <row r="144" spans="1:7" x14ac:dyDescent="0.35">
      <c r="A144" s="175" t="s">
        <v>888</v>
      </c>
      <c r="B144" s="177">
        <f>IF('Census demographics'!C94=0,0,IF('Census demographics'!C94&lt;0.005,"&lt;1%",'Census demographics'!C94))</f>
        <v>9.8788794142018448E-3</v>
      </c>
      <c r="C144" s="177">
        <f>IF('Census demographics'!E94=0,0,IF('Census demographics'!E94&lt;0.005,"&lt;1%",'Census demographics'!E94))</f>
        <v>5.0687661547697202E-3</v>
      </c>
    </row>
    <row r="145" spans="1:7" x14ac:dyDescent="0.35">
      <c r="A145" s="175" t="s">
        <v>889</v>
      </c>
      <c r="B145" s="177" t="str">
        <f>IF('Census demographics'!C95=0,0,IF('Census demographics'!C95&lt;0.005,"&lt;1%",'Census demographics'!C95))</f>
        <v>&lt;1%</v>
      </c>
      <c r="C145" s="177" t="str">
        <f>IF('Census demographics'!E95=0,0,IF('Census demographics'!E95&lt;0.005,"&lt;1%",'Census demographics'!E95))</f>
        <v>&lt;1%</v>
      </c>
    </row>
    <row r="146" spans="1:7" x14ac:dyDescent="0.35">
      <c r="A146" s="179" t="s">
        <v>442</v>
      </c>
      <c r="B146" s="177" t="str">
        <f>IF('Census demographics'!C96=0,0,IF('Census demographics'!C96&lt;0.005,"&lt;1%",'Census demographics'!C96))</f>
        <v>&lt;1%</v>
      </c>
      <c r="C146" s="177" t="str">
        <f>IF('Census demographics'!E96=0,0,IF('Census demographics'!E96&lt;0.005,"&lt;1%",'Census demographics'!E96))</f>
        <v>&lt;1%</v>
      </c>
    </row>
    <row r="147" spans="1:7" x14ac:dyDescent="0.35">
      <c r="A147" s="179" t="s">
        <v>443</v>
      </c>
      <c r="B147" s="177" t="str">
        <f>IF('Census demographics'!C97=0,0,IF('Census demographics'!C97&lt;0.005,"&lt;1%",'Census demographics'!C97))</f>
        <v>&lt;1%</v>
      </c>
      <c r="C147" s="177" t="str">
        <f>IF('Census demographics'!E97=0,0,IF('Census demographics'!E97&lt;0.005,"&lt;1%",'Census demographics'!E97))</f>
        <v>&lt;1%</v>
      </c>
    </row>
    <row r="148" spans="1:7" x14ac:dyDescent="0.35">
      <c r="A148" s="179" t="s">
        <v>444</v>
      </c>
      <c r="B148" s="177" t="str">
        <f>IF('Census demographics'!C98=0,0,IF('Census demographics'!C98&lt;0.005,"&lt;1%",'Census demographics'!C98))</f>
        <v>&lt;1%</v>
      </c>
      <c r="C148" s="177" t="str">
        <f>IF('Census demographics'!E98=0,0,IF('Census demographics'!E98&lt;0.005,"&lt;1%",'Census demographics'!E98))</f>
        <v>&lt;1%</v>
      </c>
    </row>
    <row r="149" spans="1:7" x14ac:dyDescent="0.35">
      <c r="A149" s="109"/>
      <c r="B149" s="109"/>
      <c r="C149" s="109"/>
      <c r="D149" s="109"/>
    </row>
    <row r="150" spans="1:7" ht="15" customHeight="1" x14ac:dyDescent="0.35">
      <c r="A150" s="182" t="s">
        <v>435</v>
      </c>
      <c r="B150" s="173" t="s">
        <v>367</v>
      </c>
      <c r="C150" s="173" t="s">
        <v>368</v>
      </c>
    </row>
    <row r="151" spans="1:7" x14ac:dyDescent="0.35">
      <c r="A151" s="175" t="s">
        <v>436</v>
      </c>
      <c r="B151" s="177">
        <f>IF('Census demographics'!C105=0,0,IF('Census demographics'!C105&lt;0.005,"&lt;1%",'Census demographics'!C105))</f>
        <v>0.9244398590180164</v>
      </c>
      <c r="C151" s="177">
        <f>IF('Census demographics'!E105=0,0,IF('Census demographics'!E105&lt;0.005,"&lt;1%",'Census demographics'!E105))</f>
        <v>0.96233425795567185</v>
      </c>
    </row>
    <row r="152" spans="1:7" x14ac:dyDescent="0.35">
      <c r="A152" s="175" t="s">
        <v>437</v>
      </c>
      <c r="B152" s="177">
        <f>IF('Census demographics'!C106=0,0,IF('Census demographics'!C106&lt;0.005,"&lt;1%",'Census demographics'!C106))</f>
        <v>3.3092598445858504E-2</v>
      </c>
      <c r="C152" s="177">
        <f>IF('Census demographics'!E106=0,0,IF('Census demographics'!E106&lt;0.005,"&lt;1%",'Census demographics'!E106))</f>
        <v>1.8748033432453706E-2</v>
      </c>
    </row>
    <row r="153" spans="1:7" x14ac:dyDescent="0.35">
      <c r="A153" s="175" t="s">
        <v>438</v>
      </c>
      <c r="B153" s="177">
        <f>IF('Census demographics'!C107=0,0,IF('Census demographics'!C107&lt;0.005,"&lt;1%",'Census demographics'!C107))</f>
        <v>3.4440395751456632E-2</v>
      </c>
      <c r="C153" s="177">
        <f>IF('Census demographics'!E107=0,0,IF('Census demographics'!E107&lt;0.005,"&lt;1%",'Census demographics'!E107))</f>
        <v>1.5478027601211782E-2</v>
      </c>
    </row>
    <row r="154" spans="1:7" x14ac:dyDescent="0.35">
      <c r="A154" s="175" t="s">
        <v>439</v>
      </c>
      <c r="B154" s="177">
        <f>IF('Census demographics'!C108=0,0,IF('Census demographics'!C108&lt;0.005,"&lt;1%",'Census demographics'!C108))</f>
        <v>8.0271467846685079E-3</v>
      </c>
      <c r="C154" s="177" t="str">
        <f>IF('Census demographics'!E108=0,0,IF('Census demographics'!E108&lt;0.005,"&lt;1%",'Census demographics'!E108))</f>
        <v>&lt;1%</v>
      </c>
    </row>
    <row r="156" spans="1:7" s="109" customFormat="1" x14ac:dyDescent="0.35">
      <c r="A156" s="182" t="s">
        <v>260</v>
      </c>
      <c r="B156" s="173" t="s">
        <v>367</v>
      </c>
      <c r="C156" s="173" t="s">
        <v>368</v>
      </c>
      <c r="D156" s="191"/>
      <c r="E156" s="191"/>
      <c r="F156" s="183"/>
      <c r="G156" s="183"/>
    </row>
    <row r="157" spans="1:7" s="109" customFormat="1" ht="15" customHeight="1" x14ac:dyDescent="0.35">
      <c r="A157" s="175" t="s">
        <v>268</v>
      </c>
      <c r="B157" s="177">
        <f>IF('Census demographics'!C115=0,0,IF('Census demographics'!C115&lt;0.005,"&lt;1%",'Census demographics'!C115))</f>
        <v>0.4641322807068185</v>
      </c>
      <c r="C157" s="177">
        <f>IF('Census demographics'!E115=0,0,IF('Census demographics'!E115&lt;0.005,"&lt;1%",'Census demographics'!E115))</f>
        <v>0.51756154643958618</v>
      </c>
      <c r="D157" s="174"/>
      <c r="E157" s="174"/>
      <c r="F157" s="183"/>
      <c r="G157" s="183"/>
    </row>
    <row r="158" spans="1:7" s="109" customFormat="1" x14ac:dyDescent="0.35">
      <c r="A158" s="175" t="s">
        <v>261</v>
      </c>
      <c r="B158" s="177">
        <f>IF('Census demographics'!C116=0,0,IF('Census demographics'!C116&lt;0.005,"&lt;1%",'Census demographics'!C116))</f>
        <v>0.3681354366620001</v>
      </c>
      <c r="C158" s="177">
        <f>IF('Census demographics'!E116=0,0,IF('Census demographics'!E116&lt;0.005,"&lt;1%",'Census demographics'!E116))</f>
        <v>0.42156411201179073</v>
      </c>
      <c r="D158" s="176"/>
      <c r="E158" s="177"/>
      <c r="F158" s="176"/>
      <c r="G158" s="178"/>
    </row>
    <row r="159" spans="1:7" s="109" customFormat="1" x14ac:dyDescent="0.35">
      <c r="A159" s="175" t="s">
        <v>262</v>
      </c>
      <c r="B159" s="177">
        <f>IF('Census demographics'!C117=0,0,IF('Census demographics'!C117&lt;0.005,"&lt;1%",'Census demographics'!C117))</f>
        <v>5.9462814092109632E-3</v>
      </c>
      <c r="C159" s="177" t="str">
        <f>IF('Census demographics'!E117=0,0,IF('Census demographics'!E117&lt;0.005,"&lt;1%",'Census demographics'!E117))</f>
        <v>&lt;1%</v>
      </c>
      <c r="D159" s="176"/>
      <c r="E159" s="177"/>
      <c r="F159" s="176"/>
      <c r="G159" s="178"/>
    </row>
    <row r="160" spans="1:7" s="109" customFormat="1" x14ac:dyDescent="0.35">
      <c r="A160" s="175" t="s">
        <v>263</v>
      </c>
      <c r="B160" s="177">
        <f>IF('Census demographics'!C118=0,0,IF('Census demographics'!C118&lt;0.005,"&lt;1%",'Census demographics'!C118))</f>
        <v>1.9561149037096905E-2</v>
      </c>
      <c r="C160" s="177">
        <f>IF('Census demographics'!E118=0,0,IF('Census demographics'!E118&lt;0.005,"&lt;1%",'Census demographics'!E118))</f>
        <v>6.7840961816643466E-3</v>
      </c>
      <c r="D160" s="176"/>
      <c r="E160" s="177"/>
      <c r="F160" s="176"/>
      <c r="G160" s="178"/>
    </row>
    <row r="161" spans="1:7" s="109" customFormat="1" x14ac:dyDescent="0.35">
      <c r="A161" s="175" t="s">
        <v>264</v>
      </c>
      <c r="B161" s="177" t="str">
        <f>IF('Census demographics'!C119=0,0,IF('Census demographics'!C119&lt;0.005,"&lt;1%",'Census demographics'!C119))</f>
        <v>&lt;1%</v>
      </c>
      <c r="C161" s="177" t="str">
        <f>IF('Census demographics'!E119=0,0,IF('Census demographics'!E119&lt;0.005,"&lt;1%",'Census demographics'!E119))</f>
        <v>&lt;1%</v>
      </c>
      <c r="D161" s="176"/>
      <c r="E161" s="177"/>
      <c r="F161" s="176"/>
      <c r="G161" s="178"/>
    </row>
    <row r="162" spans="1:7" s="109" customFormat="1" x14ac:dyDescent="0.35">
      <c r="A162" s="175" t="s">
        <v>265</v>
      </c>
      <c r="B162" s="177">
        <f>IF('Census demographics'!C120=0,0,IF('Census demographics'!C120&lt;0.005,"&lt;1%",'Census demographics'!C120))</f>
        <v>0.12756120676798438</v>
      </c>
      <c r="C162" s="177">
        <f>IF('Census demographics'!E120=0,0,IF('Census demographics'!E120&lt;0.005,"&lt;1%",'Census demographics'!E120))</f>
        <v>4.2141741040967275E-2</v>
      </c>
      <c r="D162" s="176"/>
      <c r="E162" s="177"/>
      <c r="F162" s="176"/>
      <c r="G162" s="178"/>
    </row>
    <row r="163" spans="1:7" s="109" customFormat="1" x14ac:dyDescent="0.35">
      <c r="A163" s="175" t="s">
        <v>266</v>
      </c>
      <c r="B163" s="177">
        <f>IF('Census demographics'!C121=0,0,IF('Census demographics'!C121&lt;0.005,"&lt;1%",'Census demographics'!C121))</f>
        <v>5.3930270709753149E-3</v>
      </c>
      <c r="C163" s="177" t="str">
        <f>IF('Census demographics'!E121=0,0,IF('Census demographics'!E121&lt;0.005,"&lt;1%",'Census demographics'!E121))</f>
        <v>&lt;1%</v>
      </c>
      <c r="D163" s="176"/>
      <c r="E163" s="177"/>
      <c r="F163" s="176"/>
      <c r="G163" s="178"/>
    </row>
    <row r="164" spans="1:7" s="109" customFormat="1" x14ac:dyDescent="0.35">
      <c r="A164" s="175" t="s">
        <v>267</v>
      </c>
      <c r="B164" s="177">
        <f>IF('Census demographics'!C122=0,0,IF('Census demographics'!C122&lt;0.005,"&lt;1%",'Census demographics'!C122))</f>
        <v>7.2548481918204956E-3</v>
      </c>
      <c r="C164" s="177">
        <f>IF('Census demographics'!E122=0,0,IF('Census demographics'!E122&lt;0.005,"&lt;1%",'Census demographics'!E122))</f>
        <v>5.237758945386064E-3</v>
      </c>
      <c r="D164" s="176"/>
      <c r="E164" s="177"/>
      <c r="F164" s="176"/>
      <c r="G164" s="178"/>
    </row>
    <row r="165" spans="1:7" s="109" customFormat="1" x14ac:dyDescent="0.35">
      <c r="A165" s="180"/>
      <c r="B165" s="176"/>
      <c r="C165" s="177"/>
      <c r="D165" s="176"/>
      <c r="E165" s="177"/>
      <c r="F165" s="176"/>
      <c r="G165" s="178"/>
    </row>
    <row r="168" spans="1:7" x14ac:dyDescent="0.35">
      <c r="A168" s="193" t="s">
        <v>831</v>
      </c>
      <c r="B168" s="193"/>
      <c r="C168" s="109"/>
      <c r="D168" s="109"/>
    </row>
    <row r="169" spans="1:7" x14ac:dyDescent="0.35">
      <c r="A169" s="109"/>
      <c r="B169" s="151" t="s">
        <v>367</v>
      </c>
      <c r="C169" s="151" t="s">
        <v>368</v>
      </c>
      <c r="D169" s="151" t="s">
        <v>1</v>
      </c>
    </row>
    <row r="170" spans="1:7" x14ac:dyDescent="0.35">
      <c r="A170" s="109" t="s">
        <v>261</v>
      </c>
      <c r="B170" s="169">
        <f>'Census demographics'!B116/SUM('Census demographics'!$B$116:$B$122)</f>
        <v>0.6869893882534609</v>
      </c>
      <c r="C170" s="169">
        <f>'Census demographics'!D116/SUM('Census demographics'!$D$116:$D$122)</f>
        <v>0.87381946629799478</v>
      </c>
      <c r="D170" s="201">
        <f t="shared" ref="D170:D176" si="18">IF(B170=C170,100,IFERROR(B170/C170*100,9999))</f>
        <v>78.619144428533474</v>
      </c>
    </row>
    <row r="171" spans="1:7" x14ac:dyDescent="0.35">
      <c r="A171" s="109" t="s">
        <v>262</v>
      </c>
      <c r="B171" s="169">
        <f>'Census demographics'!B117/SUM('Census demographics'!$B$116:$B$122)</f>
        <v>1.1096547142369777E-2</v>
      </c>
      <c r="C171" s="169">
        <f>'Census demographics'!D117/SUM('Census demographics'!$D$116:$D$122)</f>
        <v>7.0345842010911645E-3</v>
      </c>
      <c r="D171" s="201">
        <f t="shared" si="18"/>
        <v>157.74275813840632</v>
      </c>
    </row>
    <row r="172" spans="1:7" x14ac:dyDescent="0.35">
      <c r="A172" s="109" t="s">
        <v>263</v>
      </c>
      <c r="B172" s="169">
        <f>'Census demographics'!B118/SUM('Census demographics'!$B$116:$B$122)</f>
        <v>3.6503689871258509E-2</v>
      </c>
      <c r="C172" s="169">
        <f>'Census demographics'!D118/SUM('Census demographics'!$D$116:$D$122)</f>
        <v>1.4062096691500157E-2</v>
      </c>
      <c r="D172" s="201">
        <f t="shared" si="18"/>
        <v>259.58923958561024</v>
      </c>
    </row>
    <row r="173" spans="1:7" x14ac:dyDescent="0.35">
      <c r="A173" s="109" t="s">
        <v>264</v>
      </c>
      <c r="B173" s="169">
        <f>'Census demographics'!B119/SUM('Census demographics'!$B$116:$B$122)</f>
        <v>3.761693570107554E-3</v>
      </c>
      <c r="C173" s="169">
        <f>'Census demographics'!D119/SUM('Census demographics'!$D$116:$D$122)</f>
        <v>1.9853827740199492E-3</v>
      </c>
      <c r="D173" s="201">
        <f t="shared" si="18"/>
        <v>189.46943729601213</v>
      </c>
    </row>
    <row r="174" spans="1:7" x14ac:dyDescent="0.35">
      <c r="A174" s="109" t="s">
        <v>265</v>
      </c>
      <c r="B174" s="169">
        <f>'Census demographics'!B120/SUM('Census demographics'!$B$116:$B$122)</f>
        <v>0.2380460740128921</v>
      </c>
      <c r="C174" s="169">
        <f>'Census demographics'!D120/SUM('Census demographics'!$D$116:$D$122)</f>
        <v>8.7351538273866144E-2</v>
      </c>
      <c r="D174" s="201">
        <f t="shared" si="18"/>
        <v>272.51503375540528</v>
      </c>
    </row>
    <row r="175" spans="1:7" x14ac:dyDescent="0.35">
      <c r="A175" s="109" t="s">
        <v>266</v>
      </c>
      <c r="B175" s="169">
        <f>'Census demographics'!B121/SUM('Census demographics'!$B$116:$B$122)</f>
        <v>1.006410141310398E-2</v>
      </c>
      <c r="C175" s="169">
        <f>'Census demographics'!D121/SUM('Census demographics'!$D$116:$D$122)</f>
        <v>4.8900879367223329E-3</v>
      </c>
      <c r="D175" s="201">
        <f t="shared" si="18"/>
        <v>205.80614384308231</v>
      </c>
    </row>
    <row r="176" spans="1:7" x14ac:dyDescent="0.35">
      <c r="A176" s="109" t="s">
        <v>267</v>
      </c>
      <c r="B176" s="169">
        <f>'Census demographics'!B122/SUM('Census demographics'!$B$116:$B$122)</f>
        <v>1.3538505736807139E-2</v>
      </c>
      <c r="C176" s="169">
        <f>'Census demographics'!D122/SUM('Census demographics'!$D$116:$D$122)</f>
        <v>1.0856843824805439E-2</v>
      </c>
      <c r="D176" s="201">
        <f t="shared" si="18"/>
        <v>124.70019791456066</v>
      </c>
    </row>
    <row r="177" spans="1:5" x14ac:dyDescent="0.35">
      <c r="A177" s="202" t="s">
        <v>368</v>
      </c>
      <c r="B177" s="203">
        <f>'Census demographics'!B123-'Census demographics'!B115</f>
        <v>111386</v>
      </c>
      <c r="C177" s="203">
        <f>'Census demographics'!D123-'Census demographics'!D115</f>
        <v>565634</v>
      </c>
      <c r="D177" s="204"/>
    </row>
    <row r="180" spans="1:5" x14ac:dyDescent="0.35">
      <c r="A180" s="193" t="s">
        <v>637</v>
      </c>
      <c r="B180" s="109"/>
      <c r="C180" s="205"/>
      <c r="D180" s="109"/>
      <c r="E180" s="109"/>
    </row>
    <row r="181" spans="1:5" x14ac:dyDescent="0.35">
      <c r="A181" s="182" t="s">
        <v>468</v>
      </c>
      <c r="B181" s="299" t="s">
        <v>367</v>
      </c>
      <c r="C181" s="299"/>
      <c r="D181" s="299" t="s">
        <v>368</v>
      </c>
      <c r="E181" s="299"/>
    </row>
    <row r="182" spans="1:5" x14ac:dyDescent="0.35">
      <c r="A182" s="182"/>
      <c r="B182" s="174" t="s">
        <v>73</v>
      </c>
      <c r="C182" s="174" t="s">
        <v>74</v>
      </c>
      <c r="D182" s="174" t="s">
        <v>73</v>
      </c>
      <c r="E182" s="174" t="s">
        <v>74</v>
      </c>
    </row>
    <row r="183" spans="1:5" x14ac:dyDescent="0.35">
      <c r="A183" s="185" t="s">
        <v>628</v>
      </c>
      <c r="B183" s="176">
        <f>'Census demographics'!B157+'Census demographics'!B172+'Census demographics'!B173</f>
        <v>48</v>
      </c>
      <c r="C183" s="186">
        <f t="shared" ref="C183:C191" si="19">B183/$B$192</f>
        <v>3.5395619792050735E-3</v>
      </c>
      <c r="D183" s="176">
        <f>'Census demographics'!D157+'Census demographics'!D172+'Census demographics'!D173</f>
        <v>371</v>
      </c>
      <c r="E183" s="186">
        <f t="shared" ref="E183:E191" si="20">D183/$D$192</f>
        <v>1.5042776628958358E-2</v>
      </c>
    </row>
    <row r="184" spans="1:5" x14ac:dyDescent="0.35">
      <c r="A184" s="185" t="s">
        <v>616</v>
      </c>
      <c r="B184" s="176">
        <f>'Census demographics'!B163+'Census demographics'!B164+'Census demographics'!B169+'Census demographics'!B170</f>
        <v>1181</v>
      </c>
      <c r="C184" s="186">
        <f t="shared" si="19"/>
        <v>8.7087972863358162E-2</v>
      </c>
      <c r="D184" s="176">
        <f>'Census demographics'!D163+'Census demographics'!D164+'Census demographics'!D169+'Census demographics'!D170</f>
        <v>5916</v>
      </c>
      <c r="E184" s="186">
        <f t="shared" si="20"/>
        <v>0.23987349470867292</v>
      </c>
    </row>
    <row r="185" spans="1:5" x14ac:dyDescent="0.35">
      <c r="A185" s="185" t="s">
        <v>630</v>
      </c>
      <c r="B185" s="176">
        <f>'Census demographics'!B162+'Census demographics'!B165+'Census demographics'!B167+'Census demographics'!B171+'Census demographics'!B174</f>
        <v>65</v>
      </c>
      <c r="C185" s="186">
        <f t="shared" si="19"/>
        <v>4.7931568468402037E-3</v>
      </c>
      <c r="D185" s="176">
        <f>'Census demographics'!D162+'Census demographics'!D165+'Census demographics'!D167+'Census demographics'!D171+'Census demographics'!D174</f>
        <v>427</v>
      </c>
      <c r="E185" s="186">
        <f t="shared" si="20"/>
        <v>1.7313384422008676E-2</v>
      </c>
    </row>
    <row r="186" spans="1:5" x14ac:dyDescent="0.35">
      <c r="A186" s="185" t="s">
        <v>617</v>
      </c>
      <c r="B186" s="176">
        <f>'Census demographics'!B176</f>
        <v>0</v>
      </c>
      <c r="C186" s="186">
        <f t="shared" si="19"/>
        <v>0</v>
      </c>
      <c r="D186" s="176">
        <f>'Census demographics'!D176</f>
        <v>418</v>
      </c>
      <c r="E186" s="186">
        <f t="shared" si="20"/>
        <v>1.6948465312411305E-2</v>
      </c>
    </row>
    <row r="187" spans="1:5" x14ac:dyDescent="0.35">
      <c r="A187" s="185" t="s">
        <v>484</v>
      </c>
      <c r="B187" s="176">
        <f>'Census demographics'!B177</f>
        <v>368</v>
      </c>
      <c r="C187" s="186">
        <f t="shared" si="19"/>
        <v>2.7136641840572229E-2</v>
      </c>
      <c r="D187" s="176">
        <f>'Census demographics'!D177</f>
        <v>2304</v>
      </c>
      <c r="E187" s="186">
        <f t="shared" si="20"/>
        <v>9.341929205692738E-2</v>
      </c>
    </row>
    <row r="188" spans="1:5" x14ac:dyDescent="0.35">
      <c r="A188" s="185" t="s">
        <v>618</v>
      </c>
      <c r="B188" s="176">
        <f>'Census demographics'!B180</f>
        <v>11033</v>
      </c>
      <c r="C188" s="186">
        <f t="shared" si="19"/>
        <v>0.81358306909519951</v>
      </c>
      <c r="D188" s="176">
        <f>'Census demographics'!D180</f>
        <v>13527</v>
      </c>
      <c r="E188" s="186">
        <f t="shared" si="20"/>
        <v>0.54847342172485103</v>
      </c>
    </row>
    <row r="189" spans="1:5" x14ac:dyDescent="0.35">
      <c r="A189" s="185" t="s">
        <v>487</v>
      </c>
      <c r="B189" s="176">
        <f>'Census demographics'!B181</f>
        <v>31</v>
      </c>
      <c r="C189" s="186">
        <f t="shared" si="19"/>
        <v>2.2859671115699432E-3</v>
      </c>
      <c r="D189" s="176">
        <f>'Census demographics'!D181</f>
        <v>156</v>
      </c>
      <c r="E189" s="186">
        <f t="shared" si="20"/>
        <v>6.3252645663544578E-3</v>
      </c>
    </row>
    <row r="190" spans="1:5" x14ac:dyDescent="0.35">
      <c r="A190" s="185" t="s">
        <v>488</v>
      </c>
      <c r="B190" s="176">
        <f>'Census demographics'!B182</f>
        <v>336</v>
      </c>
      <c r="C190" s="186">
        <f t="shared" si="19"/>
        <v>2.4776933854435513E-2</v>
      </c>
      <c r="D190" s="176">
        <f>'Census demographics'!D182</f>
        <v>602</v>
      </c>
      <c r="E190" s="186">
        <f t="shared" si="20"/>
        <v>2.4409033775290922E-2</v>
      </c>
    </row>
    <row r="191" spans="1:5" x14ac:dyDescent="0.35">
      <c r="A191" s="185" t="s">
        <v>619</v>
      </c>
      <c r="B191" s="176">
        <f>'Census demographics'!B188-SUM(B183:B190)</f>
        <v>499</v>
      </c>
      <c r="C191" s="186">
        <f t="shared" si="19"/>
        <v>3.6796696408819406E-2</v>
      </c>
      <c r="D191" s="176">
        <f>'Census demographics'!D188-SUM(D183:D190)</f>
        <v>942</v>
      </c>
      <c r="E191" s="186">
        <f t="shared" si="20"/>
        <v>3.8194866804524996E-2</v>
      </c>
    </row>
    <row r="192" spans="1:5" x14ac:dyDescent="0.35">
      <c r="A192" s="180" t="s">
        <v>467</v>
      </c>
      <c r="B192" s="175">
        <f>'Census demographics'!B188</f>
        <v>13561</v>
      </c>
      <c r="C192" s="175"/>
      <c r="D192" s="175">
        <f>'Census demographics'!D188</f>
        <v>24663</v>
      </c>
      <c r="E192" s="175"/>
    </row>
    <row r="193" spans="1:5" x14ac:dyDescent="0.35">
      <c r="A193" s="109"/>
      <c r="B193" s="109"/>
      <c r="C193" s="109"/>
      <c r="D193" s="109"/>
      <c r="E193" s="109"/>
    </row>
    <row r="194" spans="1:5" x14ac:dyDescent="0.35">
      <c r="A194" s="193" t="s">
        <v>636</v>
      </c>
      <c r="B194" s="109"/>
      <c r="C194" s="109"/>
      <c r="D194" s="109"/>
      <c r="E194" s="109"/>
    </row>
    <row r="195" spans="1:5" x14ac:dyDescent="0.35">
      <c r="A195" s="182" t="s">
        <v>468</v>
      </c>
      <c r="B195" s="299" t="s">
        <v>367</v>
      </c>
      <c r="C195" s="299"/>
      <c r="D195" s="299" t="s">
        <v>368</v>
      </c>
      <c r="E195" s="299"/>
    </row>
    <row r="196" spans="1:5" x14ac:dyDescent="0.35">
      <c r="A196" s="182"/>
      <c r="B196" s="174" t="s">
        <v>73</v>
      </c>
      <c r="C196" s="174" t="s">
        <v>74</v>
      </c>
      <c r="D196" s="174" t="s">
        <v>73</v>
      </c>
      <c r="E196" s="174" t="s">
        <v>74</v>
      </c>
    </row>
    <row r="197" spans="1:5" x14ac:dyDescent="0.35">
      <c r="A197" s="185" t="s">
        <v>629</v>
      </c>
      <c r="B197" s="176">
        <f t="shared" ref="B197:E204" si="21">B183</f>
        <v>48</v>
      </c>
      <c r="C197" s="186">
        <f t="shared" si="21"/>
        <v>3.5395619792050735E-3</v>
      </c>
      <c r="D197" s="176">
        <f t="shared" si="21"/>
        <v>371</v>
      </c>
      <c r="E197" s="186">
        <f t="shared" si="21"/>
        <v>1.5042776628958358E-2</v>
      </c>
    </row>
    <row r="198" spans="1:5" x14ac:dyDescent="0.35">
      <c r="A198" s="185" t="s">
        <v>642</v>
      </c>
      <c r="B198" s="176">
        <f t="shared" si="21"/>
        <v>1181</v>
      </c>
      <c r="C198" s="186">
        <f t="shared" si="21"/>
        <v>8.7087972863358162E-2</v>
      </c>
      <c r="D198" s="176">
        <f t="shared" si="21"/>
        <v>5916</v>
      </c>
      <c r="E198" s="186">
        <f t="shared" si="21"/>
        <v>0.23987349470867292</v>
      </c>
    </row>
    <row r="199" spans="1:5" x14ac:dyDescent="0.35">
      <c r="A199" s="185" t="s">
        <v>635</v>
      </c>
      <c r="B199" s="176">
        <f t="shared" si="21"/>
        <v>65</v>
      </c>
      <c r="C199" s="186">
        <f t="shared" si="21"/>
        <v>4.7931568468402037E-3</v>
      </c>
      <c r="D199" s="176">
        <f t="shared" si="21"/>
        <v>427</v>
      </c>
      <c r="E199" s="186">
        <f t="shared" si="21"/>
        <v>1.7313384422008676E-2</v>
      </c>
    </row>
    <row r="200" spans="1:5" x14ac:dyDescent="0.35">
      <c r="A200" s="185" t="s">
        <v>631</v>
      </c>
      <c r="B200" s="176">
        <f t="shared" si="21"/>
        <v>0</v>
      </c>
      <c r="C200" s="186">
        <f t="shared" si="21"/>
        <v>0</v>
      </c>
      <c r="D200" s="176">
        <f t="shared" si="21"/>
        <v>418</v>
      </c>
      <c r="E200" s="186">
        <f t="shared" si="21"/>
        <v>1.6948465312411305E-2</v>
      </c>
    </row>
    <row r="201" spans="1:5" x14ac:dyDescent="0.35">
      <c r="A201" s="185" t="s">
        <v>632</v>
      </c>
      <c r="B201" s="176">
        <f t="shared" si="21"/>
        <v>368</v>
      </c>
      <c r="C201" s="186">
        <f t="shared" si="21"/>
        <v>2.7136641840572229E-2</v>
      </c>
      <c r="D201" s="176">
        <f t="shared" si="21"/>
        <v>2304</v>
      </c>
      <c r="E201" s="186">
        <f t="shared" si="21"/>
        <v>9.341929205692738E-2</v>
      </c>
    </row>
    <row r="202" spans="1:5" x14ac:dyDescent="0.35">
      <c r="A202" s="185" t="s">
        <v>643</v>
      </c>
      <c r="B202" s="176">
        <f t="shared" si="21"/>
        <v>11033</v>
      </c>
      <c r="C202" s="186">
        <f t="shared" si="21"/>
        <v>0.81358306909519951</v>
      </c>
      <c r="D202" s="176">
        <f t="shared" si="21"/>
        <v>13527</v>
      </c>
      <c r="E202" s="186">
        <f t="shared" si="21"/>
        <v>0.54847342172485103</v>
      </c>
    </row>
    <row r="203" spans="1:5" x14ac:dyDescent="0.35">
      <c r="A203" s="185" t="s">
        <v>633</v>
      </c>
      <c r="B203" s="176">
        <f t="shared" si="21"/>
        <v>31</v>
      </c>
      <c r="C203" s="186">
        <f t="shared" si="21"/>
        <v>2.2859671115699432E-3</v>
      </c>
      <c r="D203" s="176">
        <f t="shared" si="21"/>
        <v>156</v>
      </c>
      <c r="E203" s="186">
        <f t="shared" si="21"/>
        <v>6.3252645663544578E-3</v>
      </c>
    </row>
    <row r="204" spans="1:5" x14ac:dyDescent="0.35">
      <c r="A204" s="185" t="s">
        <v>634</v>
      </c>
      <c r="B204" s="176">
        <f t="shared" si="21"/>
        <v>336</v>
      </c>
      <c r="C204" s="186">
        <f t="shared" si="21"/>
        <v>2.4776933854435513E-2</v>
      </c>
      <c r="D204" s="176">
        <f t="shared" si="21"/>
        <v>602</v>
      </c>
      <c r="E204" s="186">
        <f t="shared" si="21"/>
        <v>2.4409033775290922E-2</v>
      </c>
    </row>
    <row r="205" spans="1:5" x14ac:dyDescent="0.35">
      <c r="A205" s="109"/>
      <c r="B205" s="109"/>
      <c r="C205" s="109"/>
      <c r="D205" s="109"/>
      <c r="E205" s="109"/>
    </row>
    <row r="206" spans="1:5" x14ac:dyDescent="0.35">
      <c r="A206" s="193" t="s">
        <v>641</v>
      </c>
      <c r="B206" s="109"/>
      <c r="C206" s="109"/>
      <c r="D206" s="109"/>
      <c r="E206" s="109"/>
    </row>
    <row r="207" spans="1:5" x14ac:dyDescent="0.35">
      <c r="A207" s="172" t="s">
        <v>627</v>
      </c>
      <c r="B207" s="299" t="s">
        <v>367</v>
      </c>
      <c r="C207" s="299"/>
      <c r="D207" s="299" t="s">
        <v>368</v>
      </c>
      <c r="E207" s="299"/>
    </row>
    <row r="208" spans="1:5" x14ac:dyDescent="0.35">
      <c r="A208" s="172"/>
      <c r="B208" s="174" t="s">
        <v>73</v>
      </c>
      <c r="C208" s="174" t="s">
        <v>74</v>
      </c>
      <c r="D208" s="174" t="s">
        <v>73</v>
      </c>
      <c r="E208" s="174" t="s">
        <v>74</v>
      </c>
    </row>
    <row r="209" spans="1:5" x14ac:dyDescent="0.35">
      <c r="A209" s="175" t="str">
        <f>INDEX($A$197:$A$204,MATCH(LARGE($C$197:$C$204,1),$C$197:$C$204,0))</f>
        <v>education establishments (including university accommodation and boarding schools)</v>
      </c>
      <c r="B209" s="176">
        <f>VLOOKUP($A209,$A$197:$E$204,2,FALSE)</f>
        <v>11033</v>
      </c>
      <c r="C209" s="186">
        <f>VLOOKUP($A209,$A$197:$E$204,3,FALSE)</f>
        <v>0.81358306909519951</v>
      </c>
      <c r="D209" s="176">
        <f>VLOOKUP($A209,$A$197:$E$204,4,FALSE)</f>
        <v>13527</v>
      </c>
      <c r="E209" s="186">
        <f>VLOOKUP($A209,$A$197:$E$204,5,FALSE)</f>
        <v>0.54847342172485103</v>
      </c>
    </row>
    <row r="210" spans="1:5" x14ac:dyDescent="0.35">
      <c r="A210" s="175" t="str">
        <f>INDEX($A$197:$A$204,MATCH(LARGE($C$197:$C$204,2),$C$197:$C$204,0))</f>
        <v>care homes (either with or without nursing)</v>
      </c>
      <c r="B210" s="176">
        <f>VLOOKUP($A210,$A$197:$E$204,2,FALSE)</f>
        <v>1181</v>
      </c>
      <c r="C210" s="186">
        <f>VLOOKUP($A210,$A$197:$E$204,3,FALSE)</f>
        <v>8.7087972863358162E-2</v>
      </c>
      <c r="D210" s="176">
        <f>VLOOKUP($A210,$A$197:$E$204,4,FALSE)</f>
        <v>5916</v>
      </c>
      <c r="E210" s="186">
        <f>VLOOKUP($A210,$A$197:$E$204,5,FALSE)</f>
        <v>0.23987349470867292</v>
      </c>
    </row>
    <row r="211" spans="1:5" x14ac:dyDescent="0.35">
      <c r="A211" s="175" t="str">
        <f>INDEX($A$197:$A$204,MATCH(LARGE($C$197:$C$204,3),$C$197:$C$204,0))</f>
        <v>prison service establishments</v>
      </c>
      <c r="B211" s="176">
        <f>VLOOKUP($A211,$A$197:$E$204,2,FALSE)</f>
        <v>368</v>
      </c>
      <c r="C211" s="186">
        <f>VLOOKUP($A211,$A$197:$E$204,3,FALSE)</f>
        <v>2.7136641840572229E-2</v>
      </c>
      <c r="D211" s="176">
        <f>VLOOKUP($A211,$A$197:$E$204,4,FALSE)</f>
        <v>2304</v>
      </c>
      <c r="E211" s="186">
        <f>VLOOKUP($A211,$A$197:$E$204,5,FALSE)</f>
        <v>9.341929205692738E-2</v>
      </c>
    </row>
    <row r="212" spans="1:5" x14ac:dyDescent="0.35">
      <c r="A212" s="109"/>
      <c r="B212" s="109"/>
      <c r="C212" s="109"/>
      <c r="D212" s="109"/>
      <c r="E212" s="109"/>
    </row>
    <row r="213" spans="1:5" x14ac:dyDescent="0.35">
      <c r="A213" s="109"/>
      <c r="B213" s="109"/>
      <c r="C213" s="109"/>
      <c r="D213" s="109"/>
      <c r="E213" s="109"/>
    </row>
    <row r="215" spans="1:5" x14ac:dyDescent="0.35">
      <c r="A215" s="193" t="s">
        <v>386</v>
      </c>
      <c r="B215" s="109"/>
      <c r="C215" s="109"/>
    </row>
    <row r="216" spans="1:5" x14ac:dyDescent="0.35">
      <c r="A216" s="151" t="s">
        <v>639</v>
      </c>
      <c r="B216" s="151" t="s">
        <v>367</v>
      </c>
      <c r="C216" s="151" t="s">
        <v>368</v>
      </c>
    </row>
    <row r="217" spans="1:5" x14ac:dyDescent="0.35">
      <c r="A217" s="175" t="s">
        <v>382</v>
      </c>
      <c r="B217" s="186">
        <f>'Census demographics'!B288/('Census demographics'!$B$288+SUM('Census demographics'!$B$295:$B$299))</f>
        <v>0.32623212839095306</v>
      </c>
      <c r="C217" s="186">
        <f>'Census demographics'!D288/('Census demographics'!$D$288+SUM('Census demographics'!$D$295:$D$299))</f>
        <v>0.39289342864400012</v>
      </c>
    </row>
    <row r="218" spans="1:5" x14ac:dyDescent="0.35">
      <c r="A218" s="179" t="s">
        <v>275</v>
      </c>
      <c r="B218" s="186">
        <f>'Census demographics'!B289/('Census demographics'!$B$288+SUM('Census demographics'!$B$295:$B$299))</f>
        <v>0.29124427999036628</v>
      </c>
      <c r="C218" s="186">
        <f>'Census demographics'!D289/('Census demographics'!$D$288+SUM('Census demographics'!$D$295:$D$299))</f>
        <v>0.35632642693856814</v>
      </c>
    </row>
    <row r="219" spans="1:5" x14ac:dyDescent="0.35">
      <c r="A219" s="179" t="s">
        <v>383</v>
      </c>
      <c r="B219" s="186">
        <f>'Census demographics'!B294/('Census demographics'!$B$288+SUM('Census demographics'!$B$295:$B$299))</f>
        <v>3.4987848400586781E-2</v>
      </c>
      <c r="C219" s="186">
        <f>'Census demographics'!D294/('Census demographics'!$D$288+SUM('Census demographics'!$D$295:$D$299))</f>
        <v>3.6567001705431985E-2</v>
      </c>
    </row>
    <row r="220" spans="1:5" x14ac:dyDescent="0.35">
      <c r="A220" s="175" t="s">
        <v>269</v>
      </c>
      <c r="B220" s="186">
        <f>'Census demographics'!B295/('Census demographics'!$B$288+SUM('Census demographics'!$B$295:$B$299))</f>
        <v>0.17485166290806384</v>
      </c>
      <c r="C220" s="186">
        <f>'Census demographics'!D295/('Census demographics'!$D$288+SUM('Census demographics'!$D$295:$D$299))</f>
        <v>0.15716281432562865</v>
      </c>
    </row>
    <row r="221" spans="1:5" x14ac:dyDescent="0.35">
      <c r="A221" s="175" t="s">
        <v>384</v>
      </c>
      <c r="B221" s="186">
        <f>'Census demographics'!B296/('Census demographics'!$B$288+SUM('Census demographics'!$B$295:$B$299))</f>
        <v>0.4335603091542049</v>
      </c>
      <c r="C221" s="186">
        <f>'Census demographics'!D296/('Census demographics'!$D$288+SUM('Census demographics'!$D$295:$D$299))</f>
        <v>0.37822489930694148</v>
      </c>
    </row>
    <row r="222" spans="1:5" x14ac:dyDescent="0.35">
      <c r="A222" s="175" t="s">
        <v>385</v>
      </c>
      <c r="B222" s="186">
        <f>'Census demographics'!B297/('Census demographics'!$B$288+SUM('Census demographics'!$B$295:$B$299))</f>
        <v>5.3357563549580718E-2</v>
      </c>
      <c r="C222" s="186">
        <f>'Census demographics'!D297/('Census demographics'!$D$288+SUM('Census demographics'!$D$295:$D$299))</f>
        <v>5.356689284807141E-2</v>
      </c>
    </row>
    <row r="223" spans="1:5" x14ac:dyDescent="0.35">
      <c r="A223" s="175" t="s">
        <v>379</v>
      </c>
      <c r="B223" s="186">
        <f>'Census demographics'!B298/('Census demographics'!$B$288+SUM('Census demographics'!$B$295:$B$299))</f>
        <v>1.0991176406191842E-2</v>
      </c>
      <c r="C223" s="186">
        <f>'Census demographics'!D298/('Census demographics'!$D$288+SUM('Census demographics'!$D$295:$D$299))</f>
        <v>1.6782176421495699E-2</v>
      </c>
    </row>
    <row r="224" spans="1:5" x14ac:dyDescent="0.35">
      <c r="A224" s="175" t="s">
        <v>380</v>
      </c>
      <c r="B224" s="186">
        <f>'Census demographics'!B299/('Census demographics'!$B$288+SUM('Census demographics'!$B$295:$B$299))</f>
        <v>1.0071595910056269E-3</v>
      </c>
      <c r="C224" s="186">
        <f>'Census demographics'!D299/('Census demographics'!$D$288+SUM('Census demographics'!$D$295:$D$299))</f>
        <v>1.369788453862622E-3</v>
      </c>
    </row>
    <row r="225" spans="1:3" x14ac:dyDescent="0.35">
      <c r="A225" s="188" t="s">
        <v>368</v>
      </c>
      <c r="B225" s="187">
        <f>('Census demographics'!$B$288+SUM('Census demographics'!$B$295:$B$299))</f>
        <v>45673</v>
      </c>
      <c r="C225" s="187">
        <f>('Census demographics'!$D$288+SUM('Census demographics'!$D$295:$D$299))</f>
        <v>110236</v>
      </c>
    </row>
    <row r="226" spans="1:3" x14ac:dyDescent="0.35">
      <c r="A226" s="145"/>
      <c r="B226" s="145"/>
      <c r="C226" s="145"/>
    </row>
    <row r="227" spans="1:3" x14ac:dyDescent="0.35">
      <c r="A227" s="145"/>
      <c r="B227" s="145"/>
      <c r="C227" s="145"/>
    </row>
    <row r="228" spans="1:3" x14ac:dyDescent="0.35">
      <c r="A228" s="193" t="s">
        <v>386</v>
      </c>
      <c r="B228" s="109"/>
      <c r="C228" s="109"/>
    </row>
    <row r="229" spans="1:3" x14ac:dyDescent="0.35">
      <c r="A229" s="151" t="s">
        <v>640</v>
      </c>
      <c r="B229" s="151" t="s">
        <v>367</v>
      </c>
      <c r="C229" s="151" t="s">
        <v>368</v>
      </c>
    </row>
    <row r="230" spans="1:3" x14ac:dyDescent="0.35">
      <c r="A230" s="175" t="str">
        <f>LOWER('Census demographics'!A307)</f>
        <v>arrived before 1951</v>
      </c>
      <c r="B230" s="186">
        <f>'Census demographics'!B307/SUM('Census demographics'!$B$307:$B$317)</f>
        <v>3.8276465441819773E-3</v>
      </c>
      <c r="C230" s="186">
        <f>'Census demographics'!D307/SUM('Census demographics'!$D$307:$D$317)</f>
        <v>7.4840114301265477E-3</v>
      </c>
    </row>
    <row r="231" spans="1:3" x14ac:dyDescent="0.35">
      <c r="A231" s="175" t="str">
        <f>LOWER('Census demographics'!A308)</f>
        <v>arrived 1951-1960</v>
      </c>
      <c r="B231" s="186">
        <f>'Census demographics'!B308/SUM('Census demographics'!$B$307:$B$317)</f>
        <v>1.3232720909886263E-2</v>
      </c>
      <c r="C231" s="186">
        <f>'Census demographics'!D308/SUM('Census demographics'!$D$307:$D$317)</f>
        <v>2.3368258720007258E-2</v>
      </c>
    </row>
    <row r="232" spans="1:3" x14ac:dyDescent="0.35">
      <c r="A232" s="175" t="str">
        <f>LOWER('Census demographics'!A309)</f>
        <v>arrived 1961-1970</v>
      </c>
      <c r="B232" s="186">
        <f>'Census demographics'!B309/SUM('Census demographics'!$B$307:$B$317)</f>
        <v>2.8543307086614175E-2</v>
      </c>
      <c r="C232" s="186">
        <f>'Census demographics'!D309/SUM('Census demographics'!$D$307:$D$317)</f>
        <v>4.2436612691069082E-2</v>
      </c>
    </row>
    <row r="233" spans="1:3" x14ac:dyDescent="0.35">
      <c r="A233" s="175" t="str">
        <f>LOWER('Census demographics'!A310)</f>
        <v>arrived 1971-1980</v>
      </c>
      <c r="B233" s="186">
        <f>'Census demographics'!B310/SUM('Census demographics'!$B$307:$B$317)</f>
        <v>3.7073490813648295E-2</v>
      </c>
      <c r="C233" s="186">
        <f>'Census demographics'!D310/SUM('Census demographics'!$D$307:$D$317)</f>
        <v>5.0709847144736246E-2</v>
      </c>
    </row>
    <row r="234" spans="1:3" x14ac:dyDescent="0.35">
      <c r="A234" s="175" t="str">
        <f>LOWER('Census demographics'!A311)</f>
        <v>arrived 1981-1990</v>
      </c>
      <c r="B234" s="186">
        <f>'Census demographics'!B311/SUM('Census demographics'!$B$307:$B$317)</f>
        <v>4.7069116360454945E-2</v>
      </c>
      <c r="C234" s="186">
        <f>'Census demographics'!D311/SUM('Census demographics'!$D$307:$D$317)</f>
        <v>5.7586066131446456E-2</v>
      </c>
    </row>
    <row r="235" spans="1:3" x14ac:dyDescent="0.35">
      <c r="A235" s="175" t="str">
        <f>LOWER('Census demographics'!A312)</f>
        <v>arrived 1991-2000</v>
      </c>
      <c r="B235" s="186">
        <f>'Census demographics'!B312/SUM('Census demographics'!$B$307:$B$317)</f>
        <v>8.2042869641294841E-2</v>
      </c>
      <c r="C235" s="186">
        <f>'Census demographics'!D312/SUM('Census demographics'!$D$307:$D$317)</f>
        <v>9.188551730394158E-2</v>
      </c>
    </row>
    <row r="236" spans="1:3" x14ac:dyDescent="0.35">
      <c r="A236" s="175" t="str">
        <f>LOWER('Census demographics'!A313)</f>
        <v>arrived 2001-2010</v>
      </c>
      <c r="B236" s="186">
        <f>'Census demographics'!B313/SUM('Census demographics'!$B$307:$B$317)</f>
        <v>0.26211723534558179</v>
      </c>
      <c r="C236" s="186">
        <f>'Census demographics'!D313/SUM('Census demographics'!$D$307:$D$317)</f>
        <v>0.28900077107996552</v>
      </c>
    </row>
    <row r="237" spans="1:3" x14ac:dyDescent="0.35">
      <c r="A237" s="175" t="str">
        <f>LOWER('Census demographics'!A314)</f>
        <v>arrived 2011 to 2013</v>
      </c>
      <c r="B237" s="186">
        <f>'Census demographics'!B314/SUM('Census demographics'!$B$307:$B$317)</f>
        <v>8.4383202099737528E-2</v>
      </c>
      <c r="C237" s="186">
        <f>'Census demographics'!D314/SUM('Census demographics'!$D$307:$D$317)</f>
        <v>8.6596815893318815E-2</v>
      </c>
    </row>
    <row r="238" spans="1:3" x14ac:dyDescent="0.35">
      <c r="A238" s="175" t="str">
        <f>LOWER('Census demographics'!A315)</f>
        <v>arrived 2014 to 2016</v>
      </c>
      <c r="B238" s="186">
        <f>'Census demographics'!B315/SUM('Census demographics'!$B$307:$B$317)</f>
        <v>0.12769028871391075</v>
      </c>
      <c r="C238" s="186">
        <f>'Census demographics'!D315/SUM('Census demographics'!$D$307:$D$317)</f>
        <v>0.11783009026171361</v>
      </c>
    </row>
    <row r="239" spans="1:3" x14ac:dyDescent="0.35">
      <c r="A239" s="175" t="str">
        <f>LOWER('Census demographics'!A316)</f>
        <v>arrived 2017 to 2019</v>
      </c>
      <c r="B239" s="186">
        <f>'Census demographics'!B316/SUM('Census demographics'!$B$307:$B$317)</f>
        <v>0.17696850393700789</v>
      </c>
      <c r="C239" s="186">
        <f>'Census demographics'!D316/SUM('Census demographics'!$D$307:$D$317)</f>
        <v>0.14182428448314963</v>
      </c>
    </row>
    <row r="240" spans="1:3" x14ac:dyDescent="0.35">
      <c r="A240" s="175" t="str">
        <f>LOWER('Census demographics'!A317)</f>
        <v>arrived 2020 to 2021</v>
      </c>
      <c r="B240" s="186">
        <f>'Census demographics'!B317/SUM('Census demographics'!$B$307:$B$317)</f>
        <v>0.13705161854768155</v>
      </c>
      <c r="C240" s="186">
        <f>'Census demographics'!D317/SUM('Census demographics'!$D$307:$D$317)</f>
        <v>9.1277724860525239E-2</v>
      </c>
    </row>
    <row r="241" spans="1:14" x14ac:dyDescent="0.35">
      <c r="A241" s="188" t="s">
        <v>368</v>
      </c>
      <c r="B241" s="187">
        <f>SUM('Census demographics'!$B$307:$B$317)</f>
        <v>45720</v>
      </c>
      <c r="C241" s="187">
        <f>SUM('Census demographics'!$D$307:$D$317)</f>
        <v>110235</v>
      </c>
    </row>
    <row r="242" spans="1:14" x14ac:dyDescent="0.35">
      <c r="A242" s="145"/>
      <c r="B242" s="145"/>
      <c r="C242" s="145"/>
    </row>
    <row r="243" spans="1:14" x14ac:dyDescent="0.35">
      <c r="A243" s="145"/>
      <c r="B243" s="145"/>
      <c r="C243" s="145"/>
    </row>
    <row r="244" spans="1:14" x14ac:dyDescent="0.35">
      <c r="A244" s="193" t="s">
        <v>386</v>
      </c>
      <c r="B244" s="109"/>
      <c r="C244" s="109"/>
    </row>
    <row r="245" spans="1:14" x14ac:dyDescent="0.35">
      <c r="A245" s="151" t="s">
        <v>640</v>
      </c>
      <c r="B245" s="151" t="s">
        <v>367</v>
      </c>
      <c r="C245" s="151" t="s">
        <v>368</v>
      </c>
    </row>
    <row r="246" spans="1:14" x14ac:dyDescent="0.35">
      <c r="A246" s="175" t="str">
        <f>LOWER('Census demographics'!A340)</f>
        <v>10 years or more</v>
      </c>
      <c r="B246" s="186">
        <f>'Census demographics'!B340/SUM('Census demographics'!$B$340:$B$343)</f>
        <v>0.47912468237974237</v>
      </c>
      <c r="C246" s="186">
        <f>'Census demographics'!D340/SUM('Census demographics'!$D$340:$D$343)</f>
        <v>0.56893078793597796</v>
      </c>
    </row>
    <row r="247" spans="1:14" x14ac:dyDescent="0.35">
      <c r="A247" s="175" t="str">
        <f>LOWER('Census demographics'!A341)</f>
        <v>5 years or more, but less than 10 years</v>
      </c>
      <c r="B247" s="186">
        <f>'Census demographics'!B341/SUM('Census demographics'!$B$340:$B$343)</f>
        <v>0.17041969683694033</v>
      </c>
      <c r="C247" s="186">
        <f>'Census demographics'!D341/SUM('Census demographics'!$D$340:$D$343)</f>
        <v>0.16647007585380902</v>
      </c>
    </row>
    <row r="248" spans="1:14" x14ac:dyDescent="0.35">
      <c r="A248" s="175" t="str">
        <f>LOWER('Census demographics'!A342)</f>
        <v>2 years or more, but less than 5 years</v>
      </c>
      <c r="B248" s="186">
        <f>'Census demographics'!B342/SUM('Census demographics'!$B$340:$B$343)</f>
        <v>0.14925961622710943</v>
      </c>
      <c r="C248" s="186">
        <f>'Census demographics'!D342/SUM('Census demographics'!$D$340:$D$343)</f>
        <v>0.12663775269480637</v>
      </c>
    </row>
    <row r="249" spans="1:14" x14ac:dyDescent="0.35">
      <c r="A249" s="175" t="str">
        <f>LOWER('Census demographics'!A343)</f>
        <v>less than 2 years</v>
      </c>
      <c r="B249" s="186">
        <f>'Census demographics'!B343/SUM('Census demographics'!$B$340:$B$343)</f>
        <v>0.20119600455620784</v>
      </c>
      <c r="C249" s="186">
        <f>'Census demographics'!D343/SUM('Census demographics'!$D$340:$D$343)</f>
        <v>0.13796138351540668</v>
      </c>
    </row>
    <row r="250" spans="1:14" x14ac:dyDescent="0.35">
      <c r="A250" s="188" t="s">
        <v>368</v>
      </c>
      <c r="B250" s="187">
        <f>SUM('Census demographics'!$B$340:$B$343)</f>
        <v>45652</v>
      </c>
      <c r="C250" s="187">
        <f>SUM('Census demographics'!$D$340:$D$343)</f>
        <v>110212</v>
      </c>
    </row>
    <row r="251" spans="1:14" x14ac:dyDescent="0.35">
      <c r="A251" s="188"/>
      <c r="B251" s="187"/>
      <c r="C251" s="187"/>
    </row>
    <row r="252" spans="1:14" x14ac:dyDescent="0.35">
      <c r="A252" s="188"/>
      <c r="B252" s="187"/>
      <c r="C252" s="187"/>
    </row>
    <row r="253" spans="1:14" x14ac:dyDescent="0.35">
      <c r="A253" s="188"/>
      <c r="B253" s="187"/>
      <c r="C253" s="187"/>
    </row>
    <row r="254" spans="1:14" x14ac:dyDescent="0.35">
      <c r="A254" s="193" t="s">
        <v>830</v>
      </c>
    </row>
    <row r="255" spans="1:14" x14ac:dyDescent="0.35">
      <c r="A255" s="182" t="s">
        <v>667</v>
      </c>
      <c r="B255" s="298" t="s">
        <v>367</v>
      </c>
      <c r="C255" s="298"/>
      <c r="D255" s="298" t="s">
        <v>368</v>
      </c>
      <c r="E255" s="298"/>
      <c r="F255" s="183" t="s">
        <v>1</v>
      </c>
      <c r="G255" s="109"/>
      <c r="H255" s="109"/>
      <c r="I255" s="109"/>
      <c r="J255" s="109"/>
      <c r="K255" s="109"/>
      <c r="L255" s="109"/>
      <c r="M255" s="109"/>
      <c r="N255" s="109"/>
    </row>
    <row r="256" spans="1:14" x14ac:dyDescent="0.35">
      <c r="A256" s="182"/>
      <c r="B256" s="174" t="s">
        <v>73</v>
      </c>
      <c r="C256" s="174" t="s">
        <v>74</v>
      </c>
      <c r="D256" s="174" t="s">
        <v>73</v>
      </c>
      <c r="E256" s="174" t="s">
        <v>74</v>
      </c>
      <c r="F256" s="183"/>
      <c r="G256" s="109"/>
      <c r="H256" s="167"/>
      <c r="I256" s="109"/>
      <c r="J256" s="109"/>
      <c r="K256" s="109"/>
      <c r="L256" s="109"/>
      <c r="M256" s="109"/>
      <c r="N256" s="109"/>
    </row>
    <row r="257" spans="1:14" x14ac:dyDescent="0.35">
      <c r="A257" s="175" t="s">
        <v>668</v>
      </c>
      <c r="B257" s="176" t="e">
        <f>#REF!</f>
        <v>#REF!</v>
      </c>
      <c r="C257" s="186" t="e">
        <f t="shared" ref="C257:C288" si="22">B257/$B$347</f>
        <v>#REF!</v>
      </c>
      <c r="D257" s="176" t="e">
        <f>#REF!</f>
        <v>#REF!</v>
      </c>
      <c r="E257" s="186" t="e">
        <f t="shared" ref="E257:E288" si="23">D257/$D$347</f>
        <v>#REF!</v>
      </c>
      <c r="F257" s="176" t="e">
        <f t="shared" ref="F257:F288" si="24">IF(C257=E257,100,IFERROR(C257/E257*100,9999))</f>
        <v>#REF!</v>
      </c>
      <c r="G257" s="109"/>
      <c r="H257" s="168"/>
      <c r="I257" s="198"/>
      <c r="J257" s="169"/>
      <c r="K257" s="198"/>
      <c r="L257" s="169"/>
      <c r="M257" s="109"/>
      <c r="N257" s="109"/>
    </row>
    <row r="258" spans="1:14" x14ac:dyDescent="0.35">
      <c r="A258" s="179" t="s">
        <v>669</v>
      </c>
      <c r="B258" s="176" t="e">
        <f>#REF!</f>
        <v>#REF!</v>
      </c>
      <c r="C258" s="186" t="e">
        <f t="shared" si="22"/>
        <v>#REF!</v>
      </c>
      <c r="D258" s="176" t="e">
        <f>#REF!</f>
        <v>#REF!</v>
      </c>
      <c r="E258" s="186" t="e">
        <f t="shared" si="23"/>
        <v>#REF!</v>
      </c>
      <c r="F258" s="176" t="e">
        <f t="shared" si="24"/>
        <v>#REF!</v>
      </c>
      <c r="G258" s="109"/>
      <c r="H258" s="168"/>
      <c r="I258" s="198"/>
      <c r="J258" s="169"/>
      <c r="K258" s="198"/>
      <c r="L258" s="169"/>
      <c r="M258" s="109"/>
      <c r="N258" s="109"/>
    </row>
    <row r="259" spans="1:14" x14ac:dyDescent="0.35">
      <c r="A259" s="179" t="s">
        <v>670</v>
      </c>
      <c r="B259" s="176" t="e">
        <f>#REF!</f>
        <v>#REF!</v>
      </c>
      <c r="C259" s="186" t="e">
        <f t="shared" si="22"/>
        <v>#REF!</v>
      </c>
      <c r="D259" s="176" t="e">
        <f>#REF!</f>
        <v>#REF!</v>
      </c>
      <c r="E259" s="186" t="e">
        <f t="shared" si="23"/>
        <v>#REF!</v>
      </c>
      <c r="F259" s="176" t="e">
        <f t="shared" si="24"/>
        <v>#REF!</v>
      </c>
      <c r="G259" s="109"/>
      <c r="H259" s="168"/>
      <c r="I259" s="198"/>
      <c r="J259" s="169"/>
      <c r="K259" s="198"/>
      <c r="L259" s="169"/>
      <c r="M259" s="109"/>
      <c r="N259" s="109"/>
    </row>
    <row r="260" spans="1:14" x14ac:dyDescent="0.35">
      <c r="A260" s="179" t="s">
        <v>671</v>
      </c>
      <c r="B260" s="176" t="e">
        <f>#REF!</f>
        <v>#REF!</v>
      </c>
      <c r="C260" s="186" t="e">
        <f t="shared" si="22"/>
        <v>#REF!</v>
      </c>
      <c r="D260" s="176" t="e">
        <f>#REF!</f>
        <v>#REF!</v>
      </c>
      <c r="E260" s="186" t="e">
        <f t="shared" si="23"/>
        <v>#REF!</v>
      </c>
      <c r="F260" s="176" t="e">
        <f t="shared" si="24"/>
        <v>#REF!</v>
      </c>
      <c r="G260" s="109"/>
      <c r="H260" s="170"/>
      <c r="I260" s="198"/>
      <c r="J260" s="169"/>
      <c r="K260" s="198"/>
      <c r="L260" s="169"/>
      <c r="M260" s="109"/>
      <c r="N260" s="109"/>
    </row>
    <row r="261" spans="1:14" x14ac:dyDescent="0.35">
      <c r="A261" s="179" t="s">
        <v>672</v>
      </c>
      <c r="B261" s="176" t="e">
        <f>#REF!</f>
        <v>#REF!</v>
      </c>
      <c r="C261" s="186" t="e">
        <f t="shared" si="22"/>
        <v>#REF!</v>
      </c>
      <c r="D261" s="176" t="e">
        <f>#REF!</f>
        <v>#REF!</v>
      </c>
      <c r="E261" s="186" t="e">
        <f t="shared" si="23"/>
        <v>#REF!</v>
      </c>
      <c r="F261" s="176" t="e">
        <f t="shared" si="24"/>
        <v>#REF!</v>
      </c>
      <c r="G261" s="109"/>
      <c r="H261" s="168"/>
      <c r="I261" s="198"/>
      <c r="J261" s="169"/>
      <c r="K261" s="198"/>
      <c r="L261" s="169"/>
      <c r="M261" s="109"/>
      <c r="N261" s="109"/>
    </row>
    <row r="262" spans="1:14" x14ac:dyDescent="0.35">
      <c r="A262" s="179" t="s">
        <v>673</v>
      </c>
      <c r="B262" s="176" t="e">
        <f>#REF!</f>
        <v>#REF!</v>
      </c>
      <c r="C262" s="186" t="e">
        <f t="shared" si="22"/>
        <v>#REF!</v>
      </c>
      <c r="D262" s="176" t="e">
        <f>#REF!</f>
        <v>#REF!</v>
      </c>
      <c r="E262" s="186" t="e">
        <f t="shared" si="23"/>
        <v>#REF!</v>
      </c>
      <c r="F262" s="176" t="e">
        <f t="shared" si="24"/>
        <v>#REF!</v>
      </c>
      <c r="G262" s="109"/>
      <c r="H262" s="170"/>
      <c r="I262" s="198"/>
      <c r="J262" s="169"/>
      <c r="K262" s="198"/>
      <c r="L262" s="169"/>
      <c r="M262" s="109"/>
      <c r="N262" s="109"/>
    </row>
    <row r="263" spans="1:14" x14ac:dyDescent="0.35">
      <c r="A263" s="179" t="s">
        <v>674</v>
      </c>
      <c r="B263" s="176" t="e">
        <f>#REF!</f>
        <v>#REF!</v>
      </c>
      <c r="C263" s="186" t="e">
        <f t="shared" si="22"/>
        <v>#REF!</v>
      </c>
      <c r="D263" s="176" t="e">
        <f>#REF!</f>
        <v>#REF!</v>
      </c>
      <c r="E263" s="186" t="e">
        <f t="shared" si="23"/>
        <v>#REF!</v>
      </c>
      <c r="F263" s="176" t="e">
        <f t="shared" si="24"/>
        <v>#REF!</v>
      </c>
      <c r="G263" s="109"/>
      <c r="H263" s="168"/>
      <c r="I263" s="198"/>
      <c r="J263" s="169"/>
      <c r="K263" s="198"/>
      <c r="L263" s="169"/>
      <c r="M263" s="109"/>
      <c r="N263" s="109"/>
    </row>
    <row r="264" spans="1:14" x14ac:dyDescent="0.35">
      <c r="A264" s="179" t="s">
        <v>675</v>
      </c>
      <c r="B264" s="176" t="e">
        <f>#REF!</f>
        <v>#REF!</v>
      </c>
      <c r="C264" s="186" t="e">
        <f t="shared" si="22"/>
        <v>#REF!</v>
      </c>
      <c r="D264" s="176" t="e">
        <f>#REF!</f>
        <v>#REF!</v>
      </c>
      <c r="E264" s="186" t="e">
        <f t="shared" si="23"/>
        <v>#REF!</v>
      </c>
      <c r="F264" s="176" t="e">
        <f t="shared" si="24"/>
        <v>#REF!</v>
      </c>
      <c r="G264" s="109"/>
      <c r="H264" s="170"/>
      <c r="I264" s="198"/>
      <c r="J264" s="169"/>
      <c r="K264" s="198"/>
      <c r="L264" s="169"/>
      <c r="M264" s="109"/>
      <c r="N264" s="109"/>
    </row>
    <row r="265" spans="1:14" x14ac:dyDescent="0.35">
      <c r="A265" s="179" t="s">
        <v>676</v>
      </c>
      <c r="B265" s="176" t="e">
        <f>#REF!</f>
        <v>#REF!</v>
      </c>
      <c r="C265" s="186" t="e">
        <f t="shared" si="22"/>
        <v>#REF!</v>
      </c>
      <c r="D265" s="176" t="e">
        <f>#REF!</f>
        <v>#REF!</v>
      </c>
      <c r="E265" s="186" t="e">
        <f t="shared" si="23"/>
        <v>#REF!</v>
      </c>
      <c r="F265" s="176" t="e">
        <f t="shared" si="24"/>
        <v>#REF!</v>
      </c>
      <c r="G265" s="109"/>
      <c r="H265" s="168"/>
      <c r="I265" s="198"/>
      <c r="J265" s="169"/>
      <c r="K265" s="198"/>
      <c r="L265" s="169"/>
      <c r="M265" s="109"/>
      <c r="N265" s="109"/>
    </row>
    <row r="266" spans="1:14" x14ac:dyDescent="0.35">
      <c r="A266" s="179" t="s">
        <v>677</v>
      </c>
      <c r="B266" s="176" t="e">
        <f>#REF!</f>
        <v>#REF!</v>
      </c>
      <c r="C266" s="186" t="e">
        <f t="shared" si="22"/>
        <v>#REF!</v>
      </c>
      <c r="D266" s="176" t="e">
        <f>#REF!</f>
        <v>#REF!</v>
      </c>
      <c r="E266" s="186" t="e">
        <f t="shared" si="23"/>
        <v>#REF!</v>
      </c>
      <c r="F266" s="176" t="e">
        <f t="shared" si="24"/>
        <v>#REF!</v>
      </c>
      <c r="G266" s="109"/>
      <c r="H266" s="170"/>
      <c r="I266" s="198"/>
      <c r="J266" s="169"/>
      <c r="K266" s="198"/>
      <c r="L266" s="169"/>
      <c r="M266" s="109"/>
      <c r="N266" s="109"/>
    </row>
    <row r="267" spans="1:14" x14ac:dyDescent="0.35">
      <c r="A267" s="179" t="s">
        <v>678</v>
      </c>
      <c r="B267" s="176" t="e">
        <f>#REF!</f>
        <v>#REF!</v>
      </c>
      <c r="C267" s="186" t="e">
        <f t="shared" si="22"/>
        <v>#REF!</v>
      </c>
      <c r="D267" s="176" t="e">
        <f>#REF!</f>
        <v>#REF!</v>
      </c>
      <c r="E267" s="186" t="e">
        <f t="shared" si="23"/>
        <v>#REF!</v>
      </c>
      <c r="F267" s="176" t="e">
        <f t="shared" si="24"/>
        <v>#REF!</v>
      </c>
      <c r="G267" s="109"/>
      <c r="H267" s="168"/>
      <c r="I267" s="198"/>
      <c r="J267" s="169"/>
      <c r="K267" s="198"/>
      <c r="L267" s="169"/>
      <c r="M267" s="109"/>
      <c r="N267" s="109"/>
    </row>
    <row r="268" spans="1:14" x14ac:dyDescent="0.35">
      <c r="A268" s="179" t="s">
        <v>679</v>
      </c>
      <c r="B268" s="176" t="e">
        <f>#REF!</f>
        <v>#REF!</v>
      </c>
      <c r="C268" s="186" t="e">
        <f t="shared" si="22"/>
        <v>#REF!</v>
      </c>
      <c r="D268" s="176" t="e">
        <f>#REF!</f>
        <v>#REF!</v>
      </c>
      <c r="E268" s="186" t="e">
        <f t="shared" si="23"/>
        <v>#REF!</v>
      </c>
      <c r="F268" s="176" t="e">
        <f t="shared" si="24"/>
        <v>#REF!</v>
      </c>
      <c r="G268" s="109"/>
      <c r="H268" s="170"/>
      <c r="I268" s="198"/>
      <c r="J268" s="169"/>
      <c r="K268" s="198"/>
      <c r="L268" s="169"/>
      <c r="M268" s="109"/>
      <c r="N268" s="109"/>
    </row>
    <row r="269" spans="1:14" x14ac:dyDescent="0.35">
      <c r="A269" s="179" t="s">
        <v>680</v>
      </c>
      <c r="B269" s="176" t="e">
        <f>#REF!</f>
        <v>#REF!</v>
      </c>
      <c r="C269" s="186" t="e">
        <f t="shared" si="22"/>
        <v>#REF!</v>
      </c>
      <c r="D269" s="176" t="e">
        <f>#REF!</f>
        <v>#REF!</v>
      </c>
      <c r="E269" s="186" t="e">
        <f t="shared" si="23"/>
        <v>#REF!</v>
      </c>
      <c r="F269" s="176" t="e">
        <f t="shared" si="24"/>
        <v>#REF!</v>
      </c>
      <c r="G269" s="109"/>
      <c r="H269" s="168"/>
      <c r="I269" s="198"/>
      <c r="J269" s="169"/>
      <c r="K269" s="198"/>
      <c r="L269" s="169"/>
      <c r="M269" s="109"/>
      <c r="N269" s="109"/>
    </row>
    <row r="270" spans="1:14" x14ac:dyDescent="0.35">
      <c r="A270" s="179" t="s">
        <v>681</v>
      </c>
      <c r="B270" s="176" t="e">
        <f>#REF!</f>
        <v>#REF!</v>
      </c>
      <c r="C270" s="186" t="e">
        <f t="shared" si="22"/>
        <v>#REF!</v>
      </c>
      <c r="D270" s="176" t="e">
        <f>#REF!</f>
        <v>#REF!</v>
      </c>
      <c r="E270" s="186" t="e">
        <f t="shared" si="23"/>
        <v>#REF!</v>
      </c>
      <c r="F270" s="176" t="e">
        <f t="shared" si="24"/>
        <v>#REF!</v>
      </c>
      <c r="G270" s="109"/>
      <c r="N270" s="109"/>
    </row>
    <row r="271" spans="1:14" x14ac:dyDescent="0.35">
      <c r="A271" s="175" t="s">
        <v>99</v>
      </c>
      <c r="B271" s="176" t="e">
        <f>#REF!</f>
        <v>#REF!</v>
      </c>
      <c r="C271" s="186" t="e">
        <f t="shared" si="22"/>
        <v>#REF!</v>
      </c>
      <c r="D271" s="176" t="e">
        <f>#REF!</f>
        <v>#REF!</v>
      </c>
      <c r="E271" s="186" t="e">
        <f t="shared" si="23"/>
        <v>#REF!</v>
      </c>
      <c r="F271" s="176" t="e">
        <f t="shared" si="24"/>
        <v>#REF!</v>
      </c>
      <c r="G271" s="109"/>
      <c r="N271" s="109"/>
    </row>
    <row r="272" spans="1:14" x14ac:dyDescent="0.35">
      <c r="A272" s="179" t="s">
        <v>682</v>
      </c>
      <c r="B272" s="176" t="e">
        <f>#REF!</f>
        <v>#REF!</v>
      </c>
      <c r="C272" s="186" t="e">
        <f t="shared" si="22"/>
        <v>#REF!</v>
      </c>
      <c r="D272" s="176" t="e">
        <f>#REF!</f>
        <v>#REF!</v>
      </c>
      <c r="E272" s="186" t="e">
        <f t="shared" si="23"/>
        <v>#REF!</v>
      </c>
      <c r="F272" s="176" t="e">
        <f t="shared" si="24"/>
        <v>#REF!</v>
      </c>
      <c r="G272" s="109"/>
      <c r="N272" s="109"/>
    </row>
    <row r="273" spans="1:14" x14ac:dyDescent="0.35">
      <c r="A273" s="179" t="s">
        <v>683</v>
      </c>
      <c r="B273" s="176" t="e">
        <f>#REF!</f>
        <v>#REF!</v>
      </c>
      <c r="C273" s="186" t="e">
        <f t="shared" si="22"/>
        <v>#REF!</v>
      </c>
      <c r="D273" s="176" t="e">
        <f>#REF!</f>
        <v>#REF!</v>
      </c>
      <c r="E273" s="186" t="e">
        <f t="shared" si="23"/>
        <v>#REF!</v>
      </c>
      <c r="F273" s="176" t="e">
        <f t="shared" si="24"/>
        <v>#REF!</v>
      </c>
      <c r="G273" s="109"/>
      <c r="N273" s="109"/>
    </row>
    <row r="274" spans="1:14" x14ac:dyDescent="0.35">
      <c r="A274" s="179" t="s">
        <v>684</v>
      </c>
      <c r="B274" s="176" t="e">
        <f>#REF!</f>
        <v>#REF!</v>
      </c>
      <c r="C274" s="186" t="e">
        <f t="shared" si="22"/>
        <v>#REF!</v>
      </c>
      <c r="D274" s="176" t="e">
        <f>#REF!</f>
        <v>#REF!</v>
      </c>
      <c r="E274" s="186" t="e">
        <f t="shared" si="23"/>
        <v>#REF!</v>
      </c>
      <c r="F274" s="176" t="e">
        <f t="shared" si="24"/>
        <v>#REF!</v>
      </c>
      <c r="G274" s="109"/>
      <c r="N274" s="109"/>
    </row>
    <row r="275" spans="1:14" x14ac:dyDescent="0.35">
      <c r="A275" s="179" t="s">
        <v>685</v>
      </c>
      <c r="B275" s="176" t="e">
        <f>#REF!</f>
        <v>#REF!</v>
      </c>
      <c r="C275" s="186" t="e">
        <f t="shared" si="22"/>
        <v>#REF!</v>
      </c>
      <c r="D275" s="176" t="e">
        <f>#REF!</f>
        <v>#REF!</v>
      </c>
      <c r="E275" s="186" t="e">
        <f t="shared" si="23"/>
        <v>#REF!</v>
      </c>
      <c r="F275" s="176" t="e">
        <f t="shared" si="24"/>
        <v>#REF!</v>
      </c>
      <c r="G275" s="109"/>
      <c r="N275" s="109"/>
    </row>
    <row r="276" spans="1:14" x14ac:dyDescent="0.35">
      <c r="A276" s="179" t="s">
        <v>686</v>
      </c>
      <c r="B276" s="176" t="e">
        <f>#REF!</f>
        <v>#REF!</v>
      </c>
      <c r="C276" s="186" t="e">
        <f t="shared" si="22"/>
        <v>#REF!</v>
      </c>
      <c r="D276" s="176" t="e">
        <f>#REF!</f>
        <v>#REF!</v>
      </c>
      <c r="E276" s="186" t="e">
        <f t="shared" si="23"/>
        <v>#REF!</v>
      </c>
      <c r="F276" s="176" t="e">
        <f t="shared" si="24"/>
        <v>#REF!</v>
      </c>
      <c r="G276" s="109"/>
      <c r="N276" s="109"/>
    </row>
    <row r="277" spans="1:14" x14ac:dyDescent="0.35">
      <c r="A277" s="179" t="s">
        <v>756</v>
      </c>
      <c r="B277" s="176" t="e">
        <f>#REF!</f>
        <v>#REF!</v>
      </c>
      <c r="C277" s="186" t="e">
        <f t="shared" si="22"/>
        <v>#REF!</v>
      </c>
      <c r="D277" s="176" t="e">
        <f>#REF!</f>
        <v>#REF!</v>
      </c>
      <c r="E277" s="186" t="e">
        <f t="shared" si="23"/>
        <v>#REF!</v>
      </c>
      <c r="F277" s="176" t="e">
        <f t="shared" si="24"/>
        <v>#REF!</v>
      </c>
      <c r="G277" s="109"/>
      <c r="N277" s="109"/>
    </row>
    <row r="278" spans="1:14" x14ac:dyDescent="0.35">
      <c r="A278" s="179" t="s">
        <v>687</v>
      </c>
      <c r="B278" s="176" t="e">
        <f>#REF!</f>
        <v>#REF!</v>
      </c>
      <c r="C278" s="186" t="e">
        <f t="shared" si="22"/>
        <v>#REF!</v>
      </c>
      <c r="D278" s="176" t="e">
        <f>#REF!</f>
        <v>#REF!</v>
      </c>
      <c r="E278" s="186" t="e">
        <f t="shared" si="23"/>
        <v>#REF!</v>
      </c>
      <c r="F278" s="176" t="e">
        <f t="shared" si="24"/>
        <v>#REF!</v>
      </c>
      <c r="G278" s="109"/>
      <c r="N278" s="109"/>
    </row>
    <row r="279" spans="1:14" x14ac:dyDescent="0.35">
      <c r="A279" s="179" t="s">
        <v>688</v>
      </c>
      <c r="B279" s="176" t="e">
        <f>#REF!</f>
        <v>#REF!</v>
      </c>
      <c r="C279" s="186" t="e">
        <f t="shared" si="22"/>
        <v>#REF!</v>
      </c>
      <c r="D279" s="176" t="e">
        <f>#REF!</f>
        <v>#REF!</v>
      </c>
      <c r="E279" s="186" t="e">
        <f t="shared" si="23"/>
        <v>#REF!</v>
      </c>
      <c r="F279" s="176" t="e">
        <f t="shared" si="24"/>
        <v>#REF!</v>
      </c>
      <c r="G279" s="109"/>
      <c r="N279" s="109"/>
    </row>
    <row r="280" spans="1:14" x14ac:dyDescent="0.35">
      <c r="A280" s="179" t="s">
        <v>689</v>
      </c>
      <c r="B280" s="176" t="e">
        <f>#REF!</f>
        <v>#REF!</v>
      </c>
      <c r="C280" s="186" t="e">
        <f t="shared" si="22"/>
        <v>#REF!</v>
      </c>
      <c r="D280" s="176" t="e">
        <f>#REF!</f>
        <v>#REF!</v>
      </c>
      <c r="E280" s="186" t="e">
        <f t="shared" si="23"/>
        <v>#REF!</v>
      </c>
      <c r="F280" s="176" t="e">
        <f t="shared" si="24"/>
        <v>#REF!</v>
      </c>
      <c r="G280" s="109"/>
      <c r="N280" s="109"/>
    </row>
    <row r="281" spans="1:14" x14ac:dyDescent="0.35">
      <c r="A281" s="179" t="s">
        <v>690</v>
      </c>
      <c r="B281" s="176" t="e">
        <f>#REF!</f>
        <v>#REF!</v>
      </c>
      <c r="C281" s="186" t="e">
        <f t="shared" si="22"/>
        <v>#REF!</v>
      </c>
      <c r="D281" s="176" t="e">
        <f>#REF!</f>
        <v>#REF!</v>
      </c>
      <c r="E281" s="186" t="e">
        <f t="shared" si="23"/>
        <v>#REF!</v>
      </c>
      <c r="F281" s="176" t="e">
        <f t="shared" si="24"/>
        <v>#REF!</v>
      </c>
      <c r="G281" s="109"/>
      <c r="N281" s="109"/>
    </row>
    <row r="282" spans="1:14" x14ac:dyDescent="0.35">
      <c r="A282" s="179" t="s">
        <v>691</v>
      </c>
      <c r="B282" s="176" t="e">
        <f>#REF!</f>
        <v>#REF!</v>
      </c>
      <c r="C282" s="186" t="e">
        <f t="shared" si="22"/>
        <v>#REF!</v>
      </c>
      <c r="D282" s="176" t="e">
        <f>#REF!</f>
        <v>#REF!</v>
      </c>
      <c r="E282" s="186" t="e">
        <f t="shared" si="23"/>
        <v>#REF!</v>
      </c>
      <c r="F282" s="176" t="e">
        <f t="shared" si="24"/>
        <v>#REF!</v>
      </c>
      <c r="G282" s="109"/>
      <c r="N282" s="109"/>
    </row>
    <row r="283" spans="1:14" x14ac:dyDescent="0.35">
      <c r="A283" s="179" t="s">
        <v>692</v>
      </c>
      <c r="B283" s="176" t="e">
        <f>#REF!</f>
        <v>#REF!</v>
      </c>
      <c r="C283" s="186" t="e">
        <f t="shared" si="22"/>
        <v>#REF!</v>
      </c>
      <c r="D283" s="176" t="e">
        <f>#REF!</f>
        <v>#REF!</v>
      </c>
      <c r="E283" s="186" t="e">
        <f t="shared" si="23"/>
        <v>#REF!</v>
      </c>
      <c r="F283" s="176" t="e">
        <f t="shared" si="24"/>
        <v>#REF!</v>
      </c>
      <c r="G283" s="109"/>
      <c r="N283" s="109"/>
    </row>
    <row r="284" spans="1:14" x14ac:dyDescent="0.35">
      <c r="A284" s="179" t="s">
        <v>693</v>
      </c>
      <c r="B284" s="176" t="e">
        <f>#REF!</f>
        <v>#REF!</v>
      </c>
      <c r="C284" s="186" t="e">
        <f t="shared" si="22"/>
        <v>#REF!</v>
      </c>
      <c r="D284" s="176" t="e">
        <f>#REF!</f>
        <v>#REF!</v>
      </c>
      <c r="E284" s="186" t="e">
        <f t="shared" si="23"/>
        <v>#REF!</v>
      </c>
      <c r="F284" s="176" t="e">
        <f t="shared" si="24"/>
        <v>#REF!</v>
      </c>
      <c r="G284" s="109"/>
      <c r="N284" s="109"/>
    </row>
    <row r="285" spans="1:14" x14ac:dyDescent="0.35">
      <c r="A285" s="179" t="s">
        <v>694</v>
      </c>
      <c r="B285" s="176" t="e">
        <f>#REF!</f>
        <v>#REF!</v>
      </c>
      <c r="C285" s="186" t="e">
        <f t="shared" si="22"/>
        <v>#REF!</v>
      </c>
      <c r="D285" s="176" t="e">
        <f>#REF!</f>
        <v>#REF!</v>
      </c>
      <c r="E285" s="186" t="e">
        <f t="shared" si="23"/>
        <v>#REF!</v>
      </c>
      <c r="F285" s="176" t="e">
        <f t="shared" si="24"/>
        <v>#REF!</v>
      </c>
      <c r="G285" s="109"/>
      <c r="N285" s="109"/>
    </row>
    <row r="286" spans="1:14" x14ac:dyDescent="0.35">
      <c r="A286" s="179" t="s">
        <v>695</v>
      </c>
      <c r="B286" s="176" t="e">
        <f>#REF!</f>
        <v>#REF!</v>
      </c>
      <c r="C286" s="186" t="e">
        <f t="shared" si="22"/>
        <v>#REF!</v>
      </c>
      <c r="D286" s="176" t="e">
        <f>#REF!</f>
        <v>#REF!</v>
      </c>
      <c r="E286" s="186" t="e">
        <f t="shared" si="23"/>
        <v>#REF!</v>
      </c>
      <c r="F286" s="176" t="e">
        <f t="shared" si="24"/>
        <v>#REF!</v>
      </c>
      <c r="G286" s="109"/>
      <c r="N286" s="109"/>
    </row>
    <row r="287" spans="1:14" x14ac:dyDescent="0.35">
      <c r="A287" s="179" t="s">
        <v>696</v>
      </c>
      <c r="B287" s="176" t="e">
        <f>#REF!</f>
        <v>#REF!</v>
      </c>
      <c r="C287" s="186" t="e">
        <f t="shared" si="22"/>
        <v>#REF!</v>
      </c>
      <c r="D287" s="176" t="e">
        <f>#REF!</f>
        <v>#REF!</v>
      </c>
      <c r="E287" s="186" t="e">
        <f t="shared" si="23"/>
        <v>#REF!</v>
      </c>
      <c r="F287" s="176" t="e">
        <f t="shared" si="24"/>
        <v>#REF!</v>
      </c>
      <c r="G287" s="109"/>
      <c r="N287" s="109"/>
    </row>
    <row r="288" spans="1:14" x14ac:dyDescent="0.35">
      <c r="A288" s="179" t="s">
        <v>697</v>
      </c>
      <c r="B288" s="176" t="e">
        <f>#REF!</f>
        <v>#REF!</v>
      </c>
      <c r="C288" s="186" t="e">
        <f t="shared" si="22"/>
        <v>#REF!</v>
      </c>
      <c r="D288" s="176" t="e">
        <f>#REF!</f>
        <v>#REF!</v>
      </c>
      <c r="E288" s="186" t="e">
        <f t="shared" si="23"/>
        <v>#REF!</v>
      </c>
      <c r="F288" s="176" t="e">
        <f t="shared" si="24"/>
        <v>#REF!</v>
      </c>
      <c r="G288" s="109"/>
      <c r="N288" s="109"/>
    </row>
    <row r="289" spans="1:14" x14ac:dyDescent="0.35">
      <c r="A289" s="179" t="s">
        <v>698</v>
      </c>
      <c r="B289" s="176" t="e">
        <f>#REF!</f>
        <v>#REF!</v>
      </c>
      <c r="C289" s="186" t="e">
        <f t="shared" ref="C289:C320" si="25">B289/$B$347</f>
        <v>#REF!</v>
      </c>
      <c r="D289" s="176" t="e">
        <f>#REF!</f>
        <v>#REF!</v>
      </c>
      <c r="E289" s="186" t="e">
        <f t="shared" ref="E289:E320" si="26">D289/$D$347</f>
        <v>#REF!</v>
      </c>
      <c r="F289" s="176" t="e">
        <f t="shared" ref="F289:F320" si="27">IF(C289=E289,100,IFERROR(C289/E289*100,9999))</f>
        <v>#REF!</v>
      </c>
      <c r="G289" s="109"/>
      <c r="N289" s="109"/>
    </row>
    <row r="290" spans="1:14" x14ac:dyDescent="0.35">
      <c r="A290" s="179" t="s">
        <v>699</v>
      </c>
      <c r="B290" s="176" t="e">
        <f>#REF!</f>
        <v>#REF!</v>
      </c>
      <c r="C290" s="186" t="e">
        <f t="shared" si="25"/>
        <v>#REF!</v>
      </c>
      <c r="D290" s="176" t="e">
        <f>#REF!</f>
        <v>#REF!</v>
      </c>
      <c r="E290" s="186" t="e">
        <f t="shared" si="26"/>
        <v>#REF!</v>
      </c>
      <c r="F290" s="176" t="e">
        <f t="shared" si="27"/>
        <v>#REF!</v>
      </c>
      <c r="G290" s="109"/>
      <c r="N290" s="109"/>
    </row>
    <row r="291" spans="1:14" x14ac:dyDescent="0.35">
      <c r="A291" s="179" t="s">
        <v>700</v>
      </c>
      <c r="B291" s="176" t="e">
        <f>#REF!</f>
        <v>#REF!</v>
      </c>
      <c r="C291" s="186" t="e">
        <f t="shared" si="25"/>
        <v>#REF!</v>
      </c>
      <c r="D291" s="176" t="e">
        <f>#REF!</f>
        <v>#REF!</v>
      </c>
      <c r="E291" s="186" t="e">
        <f t="shared" si="26"/>
        <v>#REF!</v>
      </c>
      <c r="F291" s="176" t="e">
        <f t="shared" si="27"/>
        <v>#REF!</v>
      </c>
      <c r="G291" s="109"/>
      <c r="N291" s="109"/>
    </row>
    <row r="292" spans="1:14" x14ac:dyDescent="0.35">
      <c r="A292" s="179" t="s">
        <v>701</v>
      </c>
      <c r="B292" s="176" t="e">
        <f>#REF!</f>
        <v>#REF!</v>
      </c>
      <c r="C292" s="186" t="e">
        <f t="shared" si="25"/>
        <v>#REF!</v>
      </c>
      <c r="D292" s="176" t="e">
        <f>#REF!</f>
        <v>#REF!</v>
      </c>
      <c r="E292" s="186" t="e">
        <f t="shared" si="26"/>
        <v>#REF!</v>
      </c>
      <c r="F292" s="176" t="e">
        <f t="shared" si="27"/>
        <v>#REF!</v>
      </c>
      <c r="G292" s="109"/>
      <c r="N292" s="109"/>
    </row>
    <row r="293" spans="1:14" x14ac:dyDescent="0.35">
      <c r="A293" s="179" t="s">
        <v>702</v>
      </c>
      <c r="B293" s="176" t="e">
        <f>#REF!</f>
        <v>#REF!</v>
      </c>
      <c r="C293" s="186" t="e">
        <f t="shared" si="25"/>
        <v>#REF!</v>
      </c>
      <c r="D293" s="176" t="e">
        <f>#REF!</f>
        <v>#REF!</v>
      </c>
      <c r="E293" s="186" t="e">
        <f t="shared" si="26"/>
        <v>#REF!</v>
      </c>
      <c r="F293" s="176" t="e">
        <f t="shared" si="27"/>
        <v>#REF!</v>
      </c>
      <c r="G293" s="109"/>
      <c r="N293" s="109"/>
    </row>
    <row r="294" spans="1:14" x14ac:dyDescent="0.35">
      <c r="A294" s="179" t="s">
        <v>703</v>
      </c>
      <c r="B294" s="176" t="e">
        <f>#REF!</f>
        <v>#REF!</v>
      </c>
      <c r="C294" s="186" t="e">
        <f t="shared" si="25"/>
        <v>#REF!</v>
      </c>
      <c r="D294" s="176" t="e">
        <f>#REF!</f>
        <v>#REF!</v>
      </c>
      <c r="E294" s="186" t="e">
        <f t="shared" si="26"/>
        <v>#REF!</v>
      </c>
      <c r="F294" s="176" t="e">
        <f t="shared" si="27"/>
        <v>#REF!</v>
      </c>
      <c r="G294" s="109"/>
      <c r="N294" s="109"/>
    </row>
    <row r="295" spans="1:14" x14ac:dyDescent="0.35">
      <c r="A295" s="179" t="s">
        <v>704</v>
      </c>
      <c r="B295" s="176" t="e">
        <f>#REF!</f>
        <v>#REF!</v>
      </c>
      <c r="C295" s="186" t="e">
        <f t="shared" si="25"/>
        <v>#REF!</v>
      </c>
      <c r="D295" s="176" t="e">
        <f>#REF!</f>
        <v>#REF!</v>
      </c>
      <c r="E295" s="186" t="e">
        <f t="shared" si="26"/>
        <v>#REF!</v>
      </c>
      <c r="F295" s="176" t="e">
        <f t="shared" si="27"/>
        <v>#REF!</v>
      </c>
      <c r="G295" s="109"/>
      <c r="N295" s="109"/>
    </row>
    <row r="296" spans="1:14" x14ac:dyDescent="0.35">
      <c r="A296" s="179" t="s">
        <v>705</v>
      </c>
      <c r="B296" s="176" t="e">
        <f>#REF!</f>
        <v>#REF!</v>
      </c>
      <c r="C296" s="186" t="e">
        <f t="shared" si="25"/>
        <v>#REF!</v>
      </c>
      <c r="D296" s="176" t="e">
        <f>#REF!</f>
        <v>#REF!</v>
      </c>
      <c r="E296" s="186" t="e">
        <f t="shared" si="26"/>
        <v>#REF!</v>
      </c>
      <c r="F296" s="176" t="e">
        <f t="shared" si="27"/>
        <v>#REF!</v>
      </c>
      <c r="G296" s="109"/>
      <c r="N296" s="109"/>
    </row>
    <row r="297" spans="1:14" x14ac:dyDescent="0.35">
      <c r="A297" s="179" t="s">
        <v>706</v>
      </c>
      <c r="B297" s="176" t="e">
        <f>#REF!</f>
        <v>#REF!</v>
      </c>
      <c r="C297" s="186" t="e">
        <f t="shared" si="25"/>
        <v>#REF!</v>
      </c>
      <c r="D297" s="176" t="e">
        <f>#REF!</f>
        <v>#REF!</v>
      </c>
      <c r="E297" s="186" t="e">
        <f t="shared" si="26"/>
        <v>#REF!</v>
      </c>
      <c r="F297" s="176" t="e">
        <f t="shared" si="27"/>
        <v>#REF!</v>
      </c>
      <c r="G297" s="109"/>
      <c r="N297" s="109"/>
    </row>
    <row r="298" spans="1:14" x14ac:dyDescent="0.35">
      <c r="A298" s="179" t="s">
        <v>707</v>
      </c>
      <c r="B298" s="176" t="e">
        <f>#REF!</f>
        <v>#REF!</v>
      </c>
      <c r="C298" s="186" t="e">
        <f t="shared" si="25"/>
        <v>#REF!</v>
      </c>
      <c r="D298" s="176" t="e">
        <f>#REF!</f>
        <v>#REF!</v>
      </c>
      <c r="E298" s="186" t="e">
        <f t="shared" si="26"/>
        <v>#REF!</v>
      </c>
      <c r="F298" s="176" t="e">
        <f t="shared" si="27"/>
        <v>#REF!</v>
      </c>
      <c r="G298" s="109"/>
      <c r="N298" s="109"/>
    </row>
    <row r="299" spans="1:14" x14ac:dyDescent="0.35">
      <c r="A299" s="179" t="s">
        <v>708</v>
      </c>
      <c r="B299" s="176" t="e">
        <f>#REF!</f>
        <v>#REF!</v>
      </c>
      <c r="C299" s="186" t="e">
        <f t="shared" si="25"/>
        <v>#REF!</v>
      </c>
      <c r="D299" s="176" t="e">
        <f>#REF!</f>
        <v>#REF!</v>
      </c>
      <c r="E299" s="186" t="e">
        <f t="shared" si="26"/>
        <v>#REF!</v>
      </c>
      <c r="F299" s="176" t="e">
        <f t="shared" si="27"/>
        <v>#REF!</v>
      </c>
      <c r="G299" s="109"/>
      <c r="N299" s="109"/>
    </row>
    <row r="300" spans="1:14" x14ac:dyDescent="0.35">
      <c r="A300" s="179" t="s">
        <v>709</v>
      </c>
      <c r="B300" s="176" t="e">
        <f>#REF!</f>
        <v>#REF!</v>
      </c>
      <c r="C300" s="186" t="e">
        <f t="shared" si="25"/>
        <v>#REF!</v>
      </c>
      <c r="D300" s="176" t="e">
        <f>#REF!</f>
        <v>#REF!</v>
      </c>
      <c r="E300" s="186" t="e">
        <f t="shared" si="26"/>
        <v>#REF!</v>
      </c>
      <c r="F300" s="176" t="e">
        <f t="shared" si="27"/>
        <v>#REF!</v>
      </c>
      <c r="G300" s="109"/>
      <c r="N300" s="109"/>
    </row>
    <row r="301" spans="1:14" x14ac:dyDescent="0.35">
      <c r="A301" s="179" t="s">
        <v>710</v>
      </c>
      <c r="B301" s="176" t="e">
        <f>#REF!</f>
        <v>#REF!</v>
      </c>
      <c r="C301" s="186" t="e">
        <f t="shared" si="25"/>
        <v>#REF!</v>
      </c>
      <c r="D301" s="176" t="e">
        <f>#REF!</f>
        <v>#REF!</v>
      </c>
      <c r="E301" s="186" t="e">
        <f t="shared" si="26"/>
        <v>#REF!</v>
      </c>
      <c r="F301" s="176" t="e">
        <f t="shared" si="27"/>
        <v>#REF!</v>
      </c>
      <c r="G301" s="109"/>
      <c r="N301" s="109"/>
    </row>
    <row r="302" spans="1:14" x14ac:dyDescent="0.35">
      <c r="A302" s="179" t="s">
        <v>711</v>
      </c>
      <c r="B302" s="176" t="e">
        <f>#REF!</f>
        <v>#REF!</v>
      </c>
      <c r="C302" s="186" t="e">
        <f t="shared" si="25"/>
        <v>#REF!</v>
      </c>
      <c r="D302" s="176" t="e">
        <f>#REF!</f>
        <v>#REF!</v>
      </c>
      <c r="E302" s="186" t="e">
        <f t="shared" si="26"/>
        <v>#REF!</v>
      </c>
      <c r="F302" s="176" t="e">
        <f t="shared" si="27"/>
        <v>#REF!</v>
      </c>
      <c r="G302" s="109"/>
      <c r="N302" s="109"/>
    </row>
    <row r="303" spans="1:14" x14ac:dyDescent="0.35">
      <c r="A303" s="179" t="s">
        <v>712</v>
      </c>
      <c r="B303" s="176" t="e">
        <f>#REF!</f>
        <v>#REF!</v>
      </c>
      <c r="C303" s="186" t="e">
        <f t="shared" si="25"/>
        <v>#REF!</v>
      </c>
      <c r="D303" s="176" t="e">
        <f>#REF!</f>
        <v>#REF!</v>
      </c>
      <c r="E303" s="186" t="e">
        <f t="shared" si="26"/>
        <v>#REF!</v>
      </c>
      <c r="F303" s="176" t="e">
        <f t="shared" si="27"/>
        <v>#REF!</v>
      </c>
      <c r="G303" s="109"/>
      <c r="N303" s="109"/>
    </row>
    <row r="304" spans="1:14" x14ac:dyDescent="0.35">
      <c r="A304" s="179" t="s">
        <v>713</v>
      </c>
      <c r="B304" s="176" t="e">
        <f>#REF!</f>
        <v>#REF!</v>
      </c>
      <c r="C304" s="186" t="e">
        <f t="shared" si="25"/>
        <v>#REF!</v>
      </c>
      <c r="D304" s="176" t="e">
        <f>#REF!</f>
        <v>#REF!</v>
      </c>
      <c r="E304" s="186" t="e">
        <f t="shared" si="26"/>
        <v>#REF!</v>
      </c>
      <c r="F304" s="176" t="e">
        <f t="shared" si="27"/>
        <v>#REF!</v>
      </c>
      <c r="G304" s="109"/>
      <c r="N304" s="109"/>
    </row>
    <row r="305" spans="1:14" x14ac:dyDescent="0.35">
      <c r="A305" s="179" t="s">
        <v>714</v>
      </c>
      <c r="B305" s="176" t="e">
        <f>#REF!</f>
        <v>#REF!</v>
      </c>
      <c r="C305" s="186" t="e">
        <f t="shared" si="25"/>
        <v>#REF!</v>
      </c>
      <c r="D305" s="176" t="e">
        <f>#REF!</f>
        <v>#REF!</v>
      </c>
      <c r="E305" s="186" t="e">
        <f t="shared" si="26"/>
        <v>#REF!</v>
      </c>
      <c r="F305" s="176" t="e">
        <f t="shared" si="27"/>
        <v>#REF!</v>
      </c>
      <c r="G305" s="109"/>
      <c r="N305" s="109"/>
    </row>
    <row r="306" spans="1:14" x14ac:dyDescent="0.35">
      <c r="A306" s="179" t="s">
        <v>715</v>
      </c>
      <c r="B306" s="176" t="e">
        <f>#REF!</f>
        <v>#REF!</v>
      </c>
      <c r="C306" s="186" t="e">
        <f t="shared" si="25"/>
        <v>#REF!</v>
      </c>
      <c r="D306" s="176" t="e">
        <f>#REF!</f>
        <v>#REF!</v>
      </c>
      <c r="E306" s="186" t="e">
        <f t="shared" si="26"/>
        <v>#REF!</v>
      </c>
      <c r="F306" s="176" t="e">
        <f t="shared" si="27"/>
        <v>#REF!</v>
      </c>
      <c r="G306" s="109"/>
      <c r="N306" s="109"/>
    </row>
    <row r="307" spans="1:14" x14ac:dyDescent="0.35">
      <c r="A307" s="179" t="s">
        <v>716</v>
      </c>
      <c r="B307" s="176" t="e">
        <f>#REF!</f>
        <v>#REF!</v>
      </c>
      <c r="C307" s="186" t="e">
        <f t="shared" si="25"/>
        <v>#REF!</v>
      </c>
      <c r="D307" s="176" t="e">
        <f>#REF!</f>
        <v>#REF!</v>
      </c>
      <c r="E307" s="186" t="e">
        <f t="shared" si="26"/>
        <v>#REF!</v>
      </c>
      <c r="F307" s="176" t="e">
        <f t="shared" si="27"/>
        <v>#REF!</v>
      </c>
      <c r="G307" s="109"/>
      <c r="N307" s="109"/>
    </row>
    <row r="308" spans="1:14" x14ac:dyDescent="0.35">
      <c r="A308" s="179" t="s">
        <v>717</v>
      </c>
      <c r="B308" s="176" t="e">
        <f>#REF!</f>
        <v>#REF!</v>
      </c>
      <c r="C308" s="186" t="e">
        <f t="shared" si="25"/>
        <v>#REF!</v>
      </c>
      <c r="D308" s="176" t="e">
        <f>#REF!</f>
        <v>#REF!</v>
      </c>
      <c r="E308" s="186" t="e">
        <f t="shared" si="26"/>
        <v>#REF!</v>
      </c>
      <c r="F308" s="176" t="e">
        <f t="shared" si="27"/>
        <v>#REF!</v>
      </c>
      <c r="G308" s="109"/>
      <c r="N308" s="109"/>
    </row>
    <row r="309" spans="1:14" x14ac:dyDescent="0.35">
      <c r="A309" s="179" t="s">
        <v>718</v>
      </c>
      <c r="B309" s="176" t="e">
        <f>#REF!</f>
        <v>#REF!</v>
      </c>
      <c r="C309" s="186" t="e">
        <f t="shared" si="25"/>
        <v>#REF!</v>
      </c>
      <c r="D309" s="176" t="e">
        <f>#REF!</f>
        <v>#REF!</v>
      </c>
      <c r="E309" s="186" t="e">
        <f t="shared" si="26"/>
        <v>#REF!</v>
      </c>
      <c r="F309" s="176" t="e">
        <f t="shared" si="27"/>
        <v>#REF!</v>
      </c>
      <c r="G309" s="109"/>
      <c r="N309" s="109"/>
    </row>
    <row r="310" spans="1:14" x14ac:dyDescent="0.35">
      <c r="A310" s="179" t="s">
        <v>719</v>
      </c>
      <c r="B310" s="176" t="e">
        <f>#REF!</f>
        <v>#REF!</v>
      </c>
      <c r="C310" s="186" t="e">
        <f t="shared" si="25"/>
        <v>#REF!</v>
      </c>
      <c r="D310" s="176" t="e">
        <f>#REF!</f>
        <v>#REF!</v>
      </c>
      <c r="E310" s="186" t="e">
        <f t="shared" si="26"/>
        <v>#REF!</v>
      </c>
      <c r="F310" s="176" t="e">
        <f t="shared" si="27"/>
        <v>#REF!</v>
      </c>
      <c r="G310" s="109"/>
      <c r="N310" s="109"/>
    </row>
    <row r="311" spans="1:14" x14ac:dyDescent="0.35">
      <c r="A311" s="179" t="s">
        <v>720</v>
      </c>
      <c r="B311" s="176" t="e">
        <f>#REF!</f>
        <v>#REF!</v>
      </c>
      <c r="C311" s="186" t="e">
        <f t="shared" si="25"/>
        <v>#REF!</v>
      </c>
      <c r="D311" s="176" t="e">
        <f>#REF!</f>
        <v>#REF!</v>
      </c>
      <c r="E311" s="186" t="e">
        <f t="shared" si="26"/>
        <v>#REF!</v>
      </c>
      <c r="F311" s="176" t="e">
        <f t="shared" si="27"/>
        <v>#REF!</v>
      </c>
      <c r="G311" s="109"/>
      <c r="N311" s="109"/>
    </row>
    <row r="312" spans="1:14" x14ac:dyDescent="0.35">
      <c r="A312" s="179" t="s">
        <v>721</v>
      </c>
      <c r="B312" s="176" t="e">
        <f>#REF!</f>
        <v>#REF!</v>
      </c>
      <c r="C312" s="186" t="e">
        <f t="shared" si="25"/>
        <v>#REF!</v>
      </c>
      <c r="D312" s="176" t="e">
        <f>#REF!</f>
        <v>#REF!</v>
      </c>
      <c r="E312" s="186" t="e">
        <f t="shared" si="26"/>
        <v>#REF!</v>
      </c>
      <c r="F312" s="176" t="e">
        <f t="shared" si="27"/>
        <v>#REF!</v>
      </c>
      <c r="G312" s="109"/>
      <c r="N312" s="109"/>
    </row>
    <row r="313" spans="1:14" x14ac:dyDescent="0.35">
      <c r="A313" s="179" t="s">
        <v>722</v>
      </c>
      <c r="B313" s="176" t="e">
        <f>#REF!</f>
        <v>#REF!</v>
      </c>
      <c r="C313" s="186" t="e">
        <f t="shared" si="25"/>
        <v>#REF!</v>
      </c>
      <c r="D313" s="176" t="e">
        <f>#REF!</f>
        <v>#REF!</v>
      </c>
      <c r="E313" s="186" t="e">
        <f t="shared" si="26"/>
        <v>#REF!</v>
      </c>
      <c r="F313" s="176" t="e">
        <f t="shared" si="27"/>
        <v>#REF!</v>
      </c>
      <c r="G313" s="109"/>
      <c r="N313" s="109"/>
    </row>
    <row r="314" spans="1:14" x14ac:dyDescent="0.35">
      <c r="A314" s="179" t="s">
        <v>723</v>
      </c>
      <c r="B314" s="176" t="e">
        <f>#REF!</f>
        <v>#REF!</v>
      </c>
      <c r="C314" s="186" t="e">
        <f t="shared" si="25"/>
        <v>#REF!</v>
      </c>
      <c r="D314" s="176" t="e">
        <f>#REF!</f>
        <v>#REF!</v>
      </c>
      <c r="E314" s="186" t="e">
        <f t="shared" si="26"/>
        <v>#REF!</v>
      </c>
      <c r="F314" s="176" t="e">
        <f t="shared" si="27"/>
        <v>#REF!</v>
      </c>
      <c r="G314" s="109"/>
      <c r="N314" s="109"/>
    </row>
    <row r="315" spans="1:14" x14ac:dyDescent="0.35">
      <c r="A315" s="179" t="s">
        <v>724</v>
      </c>
      <c r="B315" s="176" t="e">
        <f>#REF!</f>
        <v>#REF!</v>
      </c>
      <c r="C315" s="186" t="e">
        <f t="shared" si="25"/>
        <v>#REF!</v>
      </c>
      <c r="D315" s="176" t="e">
        <f>#REF!</f>
        <v>#REF!</v>
      </c>
      <c r="E315" s="186" t="e">
        <f t="shared" si="26"/>
        <v>#REF!</v>
      </c>
      <c r="F315" s="176" t="e">
        <f t="shared" si="27"/>
        <v>#REF!</v>
      </c>
      <c r="G315" s="109"/>
      <c r="N315" s="109"/>
    </row>
    <row r="316" spans="1:14" x14ac:dyDescent="0.35">
      <c r="A316" s="179" t="s">
        <v>725</v>
      </c>
      <c r="B316" s="176" t="e">
        <f>#REF!</f>
        <v>#REF!</v>
      </c>
      <c r="C316" s="186" t="e">
        <f t="shared" si="25"/>
        <v>#REF!</v>
      </c>
      <c r="D316" s="176" t="e">
        <f>#REF!</f>
        <v>#REF!</v>
      </c>
      <c r="E316" s="186" t="e">
        <f t="shared" si="26"/>
        <v>#REF!</v>
      </c>
      <c r="F316" s="176" t="e">
        <f t="shared" si="27"/>
        <v>#REF!</v>
      </c>
      <c r="G316" s="109"/>
      <c r="N316" s="109"/>
    </row>
    <row r="317" spans="1:14" x14ac:dyDescent="0.35">
      <c r="A317" s="179" t="s">
        <v>726</v>
      </c>
      <c r="B317" s="176" t="e">
        <f>#REF!</f>
        <v>#REF!</v>
      </c>
      <c r="C317" s="186" t="e">
        <f t="shared" si="25"/>
        <v>#REF!</v>
      </c>
      <c r="D317" s="176" t="e">
        <f>#REF!</f>
        <v>#REF!</v>
      </c>
      <c r="E317" s="186" t="e">
        <f t="shared" si="26"/>
        <v>#REF!</v>
      </c>
      <c r="F317" s="176" t="e">
        <f t="shared" si="27"/>
        <v>#REF!</v>
      </c>
      <c r="G317" s="109"/>
      <c r="N317" s="109"/>
    </row>
    <row r="318" spans="1:14" x14ac:dyDescent="0.35">
      <c r="A318" s="179" t="s">
        <v>727</v>
      </c>
      <c r="B318" s="176" t="e">
        <f>#REF!</f>
        <v>#REF!</v>
      </c>
      <c r="C318" s="186" t="e">
        <f t="shared" si="25"/>
        <v>#REF!</v>
      </c>
      <c r="D318" s="176" t="e">
        <f>#REF!</f>
        <v>#REF!</v>
      </c>
      <c r="E318" s="186" t="e">
        <f t="shared" si="26"/>
        <v>#REF!</v>
      </c>
      <c r="F318" s="176" t="e">
        <f t="shared" si="27"/>
        <v>#REF!</v>
      </c>
      <c r="G318" s="109"/>
      <c r="N318" s="109"/>
    </row>
    <row r="319" spans="1:14" x14ac:dyDescent="0.35">
      <c r="A319" s="179" t="s">
        <v>728</v>
      </c>
      <c r="B319" s="176" t="e">
        <f>#REF!</f>
        <v>#REF!</v>
      </c>
      <c r="C319" s="186" t="e">
        <f t="shared" si="25"/>
        <v>#REF!</v>
      </c>
      <c r="D319" s="176" t="e">
        <f>#REF!</f>
        <v>#REF!</v>
      </c>
      <c r="E319" s="186" t="e">
        <f t="shared" si="26"/>
        <v>#REF!</v>
      </c>
      <c r="F319" s="176" t="e">
        <f t="shared" si="27"/>
        <v>#REF!</v>
      </c>
      <c r="G319" s="109"/>
      <c r="N319" s="109"/>
    </row>
    <row r="320" spans="1:14" x14ac:dyDescent="0.35">
      <c r="A320" s="179" t="s">
        <v>729</v>
      </c>
      <c r="B320" s="176" t="e">
        <f>#REF!</f>
        <v>#REF!</v>
      </c>
      <c r="C320" s="186" t="e">
        <f t="shared" si="25"/>
        <v>#REF!</v>
      </c>
      <c r="D320" s="176" t="e">
        <f>#REF!</f>
        <v>#REF!</v>
      </c>
      <c r="E320" s="186" t="e">
        <f t="shared" si="26"/>
        <v>#REF!</v>
      </c>
      <c r="F320" s="176" t="e">
        <f t="shared" si="27"/>
        <v>#REF!</v>
      </c>
      <c r="G320" s="109"/>
      <c r="N320" s="109"/>
    </row>
    <row r="321" spans="1:14" x14ac:dyDescent="0.35">
      <c r="A321" s="179" t="s">
        <v>730</v>
      </c>
      <c r="B321" s="176" t="e">
        <f>#REF!</f>
        <v>#REF!</v>
      </c>
      <c r="C321" s="186" t="e">
        <f t="shared" ref="C321:C346" si="28">B321/$B$347</f>
        <v>#REF!</v>
      </c>
      <c r="D321" s="176" t="e">
        <f>#REF!</f>
        <v>#REF!</v>
      </c>
      <c r="E321" s="186" t="e">
        <f t="shared" ref="E321:E346" si="29">D321/$D$347</f>
        <v>#REF!</v>
      </c>
      <c r="F321" s="176" t="e">
        <f t="shared" ref="F321:F346" si="30">IF(C321=E321,100,IFERROR(C321/E321*100,9999))</f>
        <v>#REF!</v>
      </c>
      <c r="G321" s="109"/>
      <c r="N321" s="109"/>
    </row>
    <row r="322" spans="1:14" x14ac:dyDescent="0.35">
      <c r="A322" s="179" t="s">
        <v>731</v>
      </c>
      <c r="B322" s="176" t="e">
        <f>#REF!</f>
        <v>#REF!</v>
      </c>
      <c r="C322" s="186" t="e">
        <f t="shared" si="28"/>
        <v>#REF!</v>
      </c>
      <c r="D322" s="176" t="e">
        <f>#REF!</f>
        <v>#REF!</v>
      </c>
      <c r="E322" s="186" t="e">
        <f t="shared" si="29"/>
        <v>#REF!</v>
      </c>
      <c r="F322" s="176" t="e">
        <f t="shared" si="30"/>
        <v>#REF!</v>
      </c>
      <c r="G322" s="109"/>
      <c r="N322" s="109"/>
    </row>
    <row r="323" spans="1:14" x14ac:dyDescent="0.35">
      <c r="A323" s="179" t="s">
        <v>732</v>
      </c>
      <c r="B323" s="176" t="e">
        <f>#REF!</f>
        <v>#REF!</v>
      </c>
      <c r="C323" s="186" t="e">
        <f t="shared" si="28"/>
        <v>#REF!</v>
      </c>
      <c r="D323" s="176" t="e">
        <f>#REF!</f>
        <v>#REF!</v>
      </c>
      <c r="E323" s="186" t="e">
        <f t="shared" si="29"/>
        <v>#REF!</v>
      </c>
      <c r="F323" s="176" t="e">
        <f t="shared" si="30"/>
        <v>#REF!</v>
      </c>
      <c r="G323" s="109"/>
      <c r="N323" s="109"/>
    </row>
    <row r="324" spans="1:14" x14ac:dyDescent="0.35">
      <c r="A324" s="179" t="s">
        <v>733</v>
      </c>
      <c r="B324" s="176" t="e">
        <f>#REF!</f>
        <v>#REF!</v>
      </c>
      <c r="C324" s="186" t="e">
        <f t="shared" si="28"/>
        <v>#REF!</v>
      </c>
      <c r="D324" s="176" t="e">
        <f>#REF!</f>
        <v>#REF!</v>
      </c>
      <c r="E324" s="186" t="e">
        <f t="shared" si="29"/>
        <v>#REF!</v>
      </c>
      <c r="F324" s="176" t="e">
        <f t="shared" si="30"/>
        <v>#REF!</v>
      </c>
      <c r="G324" s="109"/>
      <c r="N324" s="109"/>
    </row>
    <row r="325" spans="1:14" x14ac:dyDescent="0.35">
      <c r="A325" s="179" t="s">
        <v>734</v>
      </c>
      <c r="B325" s="176" t="e">
        <f>#REF!</f>
        <v>#REF!</v>
      </c>
      <c r="C325" s="186" t="e">
        <f t="shared" si="28"/>
        <v>#REF!</v>
      </c>
      <c r="D325" s="176" t="e">
        <f>#REF!</f>
        <v>#REF!</v>
      </c>
      <c r="E325" s="186" t="e">
        <f t="shared" si="29"/>
        <v>#REF!</v>
      </c>
      <c r="F325" s="176" t="e">
        <f t="shared" si="30"/>
        <v>#REF!</v>
      </c>
      <c r="G325" s="109"/>
      <c r="N325" s="109"/>
    </row>
    <row r="326" spans="1:14" x14ac:dyDescent="0.35">
      <c r="A326" s="179" t="s">
        <v>735</v>
      </c>
      <c r="B326" s="176" t="e">
        <f>#REF!</f>
        <v>#REF!</v>
      </c>
      <c r="C326" s="186" t="e">
        <f t="shared" si="28"/>
        <v>#REF!</v>
      </c>
      <c r="D326" s="176" t="e">
        <f>#REF!</f>
        <v>#REF!</v>
      </c>
      <c r="E326" s="186" t="e">
        <f t="shared" si="29"/>
        <v>#REF!</v>
      </c>
      <c r="F326" s="176" t="e">
        <f t="shared" si="30"/>
        <v>#REF!</v>
      </c>
      <c r="G326" s="109"/>
      <c r="N326" s="109"/>
    </row>
    <row r="327" spans="1:14" x14ac:dyDescent="0.35">
      <c r="A327" s="179" t="s">
        <v>736</v>
      </c>
      <c r="B327" s="176" t="e">
        <f>#REF!</f>
        <v>#REF!</v>
      </c>
      <c r="C327" s="186" t="e">
        <f t="shared" si="28"/>
        <v>#REF!</v>
      </c>
      <c r="D327" s="176" t="e">
        <f>#REF!</f>
        <v>#REF!</v>
      </c>
      <c r="E327" s="186" t="e">
        <f t="shared" si="29"/>
        <v>#REF!</v>
      </c>
      <c r="F327" s="176" t="e">
        <f t="shared" si="30"/>
        <v>#REF!</v>
      </c>
      <c r="G327" s="109"/>
      <c r="N327" s="109"/>
    </row>
    <row r="328" spans="1:14" x14ac:dyDescent="0.35">
      <c r="A328" s="179" t="s">
        <v>737</v>
      </c>
      <c r="B328" s="176" t="e">
        <f>#REF!</f>
        <v>#REF!</v>
      </c>
      <c r="C328" s="186" t="e">
        <f t="shared" si="28"/>
        <v>#REF!</v>
      </c>
      <c r="D328" s="176" t="e">
        <f>#REF!</f>
        <v>#REF!</v>
      </c>
      <c r="E328" s="186" t="e">
        <f t="shared" si="29"/>
        <v>#REF!</v>
      </c>
      <c r="F328" s="176" t="e">
        <f t="shared" si="30"/>
        <v>#REF!</v>
      </c>
      <c r="G328" s="109"/>
      <c r="N328" s="109"/>
    </row>
    <row r="329" spans="1:14" x14ac:dyDescent="0.35">
      <c r="A329" s="179" t="s">
        <v>738</v>
      </c>
      <c r="B329" s="176" t="e">
        <f>#REF!</f>
        <v>#REF!</v>
      </c>
      <c r="C329" s="186" t="e">
        <f t="shared" si="28"/>
        <v>#REF!</v>
      </c>
      <c r="D329" s="176" t="e">
        <f>#REF!</f>
        <v>#REF!</v>
      </c>
      <c r="E329" s="186" t="e">
        <f t="shared" si="29"/>
        <v>#REF!</v>
      </c>
      <c r="F329" s="176" t="e">
        <f t="shared" si="30"/>
        <v>#REF!</v>
      </c>
      <c r="G329" s="109"/>
      <c r="N329" s="109"/>
    </row>
    <row r="330" spans="1:14" x14ac:dyDescent="0.35">
      <c r="A330" s="179" t="s">
        <v>739</v>
      </c>
      <c r="B330" s="176" t="e">
        <f>#REF!</f>
        <v>#REF!</v>
      </c>
      <c r="C330" s="186" t="e">
        <f t="shared" si="28"/>
        <v>#REF!</v>
      </c>
      <c r="D330" s="176" t="e">
        <f>#REF!</f>
        <v>#REF!</v>
      </c>
      <c r="E330" s="186" t="e">
        <f t="shared" si="29"/>
        <v>#REF!</v>
      </c>
      <c r="F330" s="176" t="e">
        <f t="shared" si="30"/>
        <v>#REF!</v>
      </c>
      <c r="G330" s="109"/>
      <c r="N330" s="109"/>
    </row>
    <row r="331" spans="1:14" x14ac:dyDescent="0.35">
      <c r="A331" s="179" t="s">
        <v>740</v>
      </c>
      <c r="B331" s="176" t="e">
        <f>#REF!</f>
        <v>#REF!</v>
      </c>
      <c r="C331" s="186" t="e">
        <f t="shared" si="28"/>
        <v>#REF!</v>
      </c>
      <c r="D331" s="176" t="e">
        <f>#REF!</f>
        <v>#REF!</v>
      </c>
      <c r="E331" s="186" t="e">
        <f t="shared" si="29"/>
        <v>#REF!</v>
      </c>
      <c r="F331" s="176" t="e">
        <f t="shared" si="30"/>
        <v>#REF!</v>
      </c>
      <c r="G331" s="109"/>
      <c r="N331" s="109"/>
    </row>
    <row r="332" spans="1:14" x14ac:dyDescent="0.35">
      <c r="A332" s="179" t="s">
        <v>741</v>
      </c>
      <c r="B332" s="176" t="e">
        <f>#REF!</f>
        <v>#REF!</v>
      </c>
      <c r="C332" s="186" t="e">
        <f t="shared" si="28"/>
        <v>#REF!</v>
      </c>
      <c r="D332" s="176" t="e">
        <f>#REF!</f>
        <v>#REF!</v>
      </c>
      <c r="E332" s="186" t="e">
        <f t="shared" si="29"/>
        <v>#REF!</v>
      </c>
      <c r="F332" s="176" t="e">
        <f t="shared" si="30"/>
        <v>#REF!</v>
      </c>
      <c r="G332" s="109"/>
      <c r="N332" s="109"/>
    </row>
    <row r="333" spans="1:14" x14ac:dyDescent="0.35">
      <c r="A333" s="179" t="s">
        <v>742</v>
      </c>
      <c r="B333" s="176" t="e">
        <f>#REF!</f>
        <v>#REF!</v>
      </c>
      <c r="C333" s="186" t="e">
        <f t="shared" si="28"/>
        <v>#REF!</v>
      </c>
      <c r="D333" s="176" t="e">
        <f>#REF!</f>
        <v>#REF!</v>
      </c>
      <c r="E333" s="186" t="e">
        <f t="shared" si="29"/>
        <v>#REF!</v>
      </c>
      <c r="F333" s="176" t="e">
        <f t="shared" si="30"/>
        <v>#REF!</v>
      </c>
      <c r="G333" s="109"/>
      <c r="N333" s="109"/>
    </row>
    <row r="334" spans="1:14" x14ac:dyDescent="0.35">
      <c r="A334" s="179" t="s">
        <v>743</v>
      </c>
      <c r="B334" s="176" t="e">
        <f>#REF!</f>
        <v>#REF!</v>
      </c>
      <c r="C334" s="186" t="e">
        <f t="shared" si="28"/>
        <v>#REF!</v>
      </c>
      <c r="D334" s="176" t="e">
        <f>#REF!</f>
        <v>#REF!</v>
      </c>
      <c r="E334" s="186" t="e">
        <f t="shared" si="29"/>
        <v>#REF!</v>
      </c>
      <c r="F334" s="176" t="e">
        <f t="shared" si="30"/>
        <v>#REF!</v>
      </c>
      <c r="G334" s="109"/>
      <c r="N334" s="109"/>
    </row>
    <row r="335" spans="1:14" x14ac:dyDescent="0.35">
      <c r="A335" s="179" t="s">
        <v>744</v>
      </c>
      <c r="B335" s="176" t="e">
        <f>#REF!</f>
        <v>#REF!</v>
      </c>
      <c r="C335" s="186" t="e">
        <f t="shared" si="28"/>
        <v>#REF!</v>
      </c>
      <c r="D335" s="176" t="e">
        <f>#REF!</f>
        <v>#REF!</v>
      </c>
      <c r="E335" s="186" t="e">
        <f t="shared" si="29"/>
        <v>#REF!</v>
      </c>
      <c r="F335" s="176" t="e">
        <f t="shared" si="30"/>
        <v>#REF!</v>
      </c>
      <c r="G335" s="109"/>
      <c r="N335" s="109"/>
    </row>
    <row r="336" spans="1:14" x14ac:dyDescent="0.35">
      <c r="A336" s="179" t="s">
        <v>745</v>
      </c>
      <c r="B336" s="176" t="e">
        <f>#REF!</f>
        <v>#REF!</v>
      </c>
      <c r="C336" s="186" t="e">
        <f t="shared" si="28"/>
        <v>#REF!</v>
      </c>
      <c r="D336" s="176" t="e">
        <f>#REF!</f>
        <v>#REF!</v>
      </c>
      <c r="E336" s="186" t="e">
        <f t="shared" si="29"/>
        <v>#REF!</v>
      </c>
      <c r="F336" s="176" t="e">
        <f t="shared" si="30"/>
        <v>#REF!</v>
      </c>
      <c r="G336" s="109"/>
      <c r="N336" s="109"/>
    </row>
    <row r="337" spans="1:14" x14ac:dyDescent="0.35">
      <c r="A337" s="179" t="s">
        <v>746</v>
      </c>
      <c r="B337" s="176" t="e">
        <f>#REF!</f>
        <v>#REF!</v>
      </c>
      <c r="C337" s="186" t="e">
        <f t="shared" si="28"/>
        <v>#REF!</v>
      </c>
      <c r="D337" s="176" t="e">
        <f>#REF!</f>
        <v>#REF!</v>
      </c>
      <c r="E337" s="186" t="e">
        <f t="shared" si="29"/>
        <v>#REF!</v>
      </c>
      <c r="F337" s="176" t="e">
        <f t="shared" si="30"/>
        <v>#REF!</v>
      </c>
      <c r="G337" s="109"/>
      <c r="N337" s="109"/>
    </row>
    <row r="338" spans="1:14" x14ac:dyDescent="0.35">
      <c r="A338" s="179" t="s">
        <v>747</v>
      </c>
      <c r="B338" s="176" t="e">
        <f>#REF!</f>
        <v>#REF!</v>
      </c>
      <c r="C338" s="186" t="e">
        <f t="shared" si="28"/>
        <v>#REF!</v>
      </c>
      <c r="D338" s="176" t="e">
        <f>#REF!</f>
        <v>#REF!</v>
      </c>
      <c r="E338" s="186" t="e">
        <f t="shared" si="29"/>
        <v>#REF!</v>
      </c>
      <c r="F338" s="176" t="e">
        <f t="shared" si="30"/>
        <v>#REF!</v>
      </c>
      <c r="G338" s="109"/>
      <c r="N338" s="109"/>
    </row>
    <row r="339" spans="1:14" x14ac:dyDescent="0.35">
      <c r="A339" s="179" t="s">
        <v>748</v>
      </c>
      <c r="B339" s="176" t="e">
        <f>#REF!</f>
        <v>#REF!</v>
      </c>
      <c r="C339" s="186" t="e">
        <f t="shared" si="28"/>
        <v>#REF!</v>
      </c>
      <c r="D339" s="176" t="e">
        <f>#REF!</f>
        <v>#REF!</v>
      </c>
      <c r="E339" s="186" t="e">
        <f t="shared" si="29"/>
        <v>#REF!</v>
      </c>
      <c r="F339" s="176" t="e">
        <f t="shared" si="30"/>
        <v>#REF!</v>
      </c>
      <c r="G339" s="109"/>
      <c r="N339" s="109"/>
    </row>
    <row r="340" spans="1:14" x14ac:dyDescent="0.35">
      <c r="A340" s="179" t="s">
        <v>749</v>
      </c>
      <c r="B340" s="176" t="e">
        <f>#REF!</f>
        <v>#REF!</v>
      </c>
      <c r="C340" s="186" t="e">
        <f t="shared" si="28"/>
        <v>#REF!</v>
      </c>
      <c r="D340" s="176" t="e">
        <f>#REF!</f>
        <v>#REF!</v>
      </c>
      <c r="E340" s="186" t="e">
        <f t="shared" si="29"/>
        <v>#REF!</v>
      </c>
      <c r="F340" s="176" t="e">
        <f t="shared" si="30"/>
        <v>#REF!</v>
      </c>
      <c r="G340" s="109"/>
      <c r="N340" s="109"/>
    </row>
    <row r="341" spans="1:14" x14ac:dyDescent="0.35">
      <c r="A341" s="179" t="s">
        <v>750</v>
      </c>
      <c r="B341" s="176" t="e">
        <f>#REF!</f>
        <v>#REF!</v>
      </c>
      <c r="C341" s="186" t="e">
        <f t="shared" si="28"/>
        <v>#REF!</v>
      </c>
      <c r="D341" s="176" t="e">
        <f>#REF!</f>
        <v>#REF!</v>
      </c>
      <c r="E341" s="186" t="e">
        <f t="shared" si="29"/>
        <v>#REF!</v>
      </c>
      <c r="F341" s="176" t="e">
        <f t="shared" si="30"/>
        <v>#REF!</v>
      </c>
      <c r="G341" s="109"/>
      <c r="N341" s="109"/>
    </row>
    <row r="342" spans="1:14" x14ac:dyDescent="0.35">
      <c r="A342" s="179" t="s">
        <v>751</v>
      </c>
      <c r="B342" s="176" t="e">
        <f>#REF!</f>
        <v>#REF!</v>
      </c>
      <c r="C342" s="186" t="e">
        <f t="shared" si="28"/>
        <v>#REF!</v>
      </c>
      <c r="D342" s="176" t="e">
        <f>#REF!</f>
        <v>#REF!</v>
      </c>
      <c r="E342" s="186" t="e">
        <f t="shared" si="29"/>
        <v>#REF!</v>
      </c>
      <c r="F342" s="176" t="e">
        <f t="shared" si="30"/>
        <v>#REF!</v>
      </c>
      <c r="G342" s="109"/>
      <c r="N342" s="109"/>
    </row>
    <row r="343" spans="1:14" x14ac:dyDescent="0.35">
      <c r="A343" s="179" t="s">
        <v>752</v>
      </c>
      <c r="B343" s="176" t="e">
        <f>#REF!</f>
        <v>#REF!</v>
      </c>
      <c r="C343" s="186" t="e">
        <f t="shared" si="28"/>
        <v>#REF!</v>
      </c>
      <c r="D343" s="176" t="e">
        <f>#REF!</f>
        <v>#REF!</v>
      </c>
      <c r="E343" s="186" t="e">
        <f t="shared" si="29"/>
        <v>#REF!</v>
      </c>
      <c r="F343" s="176" t="e">
        <f t="shared" si="30"/>
        <v>#REF!</v>
      </c>
      <c r="G343" s="109"/>
      <c r="N343" s="109"/>
    </row>
    <row r="344" spans="1:14" x14ac:dyDescent="0.35">
      <c r="A344" s="179" t="s">
        <v>753</v>
      </c>
      <c r="B344" s="176" t="e">
        <f>#REF!</f>
        <v>#REF!</v>
      </c>
      <c r="C344" s="186" t="e">
        <f t="shared" si="28"/>
        <v>#REF!</v>
      </c>
      <c r="D344" s="176" t="e">
        <f>#REF!</f>
        <v>#REF!</v>
      </c>
      <c r="E344" s="186" t="e">
        <f t="shared" si="29"/>
        <v>#REF!</v>
      </c>
      <c r="F344" s="176" t="e">
        <f t="shared" si="30"/>
        <v>#REF!</v>
      </c>
      <c r="G344" s="109"/>
      <c r="N344" s="109"/>
    </row>
    <row r="345" spans="1:14" x14ac:dyDescent="0.35">
      <c r="A345" s="179" t="s">
        <v>754</v>
      </c>
      <c r="B345" s="176" t="e">
        <f>#REF!</f>
        <v>#REF!</v>
      </c>
      <c r="C345" s="186" t="e">
        <f t="shared" si="28"/>
        <v>#REF!</v>
      </c>
      <c r="D345" s="176" t="e">
        <f>#REF!</f>
        <v>#REF!</v>
      </c>
      <c r="E345" s="186" t="e">
        <f t="shared" si="29"/>
        <v>#REF!</v>
      </c>
      <c r="F345" s="176" t="e">
        <f t="shared" si="30"/>
        <v>#REF!</v>
      </c>
      <c r="G345" s="109"/>
      <c r="N345" s="109"/>
    </row>
    <row r="346" spans="1:14" x14ac:dyDescent="0.35">
      <c r="A346" s="179" t="s">
        <v>755</v>
      </c>
      <c r="B346" s="176" t="e">
        <f>#REF!</f>
        <v>#REF!</v>
      </c>
      <c r="C346" s="186" t="e">
        <f t="shared" si="28"/>
        <v>#REF!</v>
      </c>
      <c r="D346" s="176" t="e">
        <f>#REF!</f>
        <v>#REF!</v>
      </c>
      <c r="E346" s="186" t="e">
        <f t="shared" si="29"/>
        <v>#REF!</v>
      </c>
      <c r="F346" s="176" t="e">
        <f t="shared" si="30"/>
        <v>#REF!</v>
      </c>
      <c r="G346" s="109"/>
      <c r="N346" s="109"/>
    </row>
    <row r="347" spans="1:14" x14ac:dyDescent="0.35">
      <c r="A347" s="180" t="s">
        <v>2</v>
      </c>
      <c r="B347" s="175" t="e">
        <f>#REF!</f>
        <v>#REF!</v>
      </c>
      <c r="C347" s="181"/>
      <c r="D347" s="175" t="e">
        <f>#REF!</f>
        <v>#REF!</v>
      </c>
      <c r="E347" s="175"/>
      <c r="F347" s="178"/>
      <c r="G347" s="109"/>
      <c r="H347" s="109"/>
      <c r="I347" s="109"/>
      <c r="J347" s="109"/>
      <c r="K347" s="109"/>
      <c r="L347" s="109"/>
      <c r="M347" s="109"/>
      <c r="N347" s="109"/>
    </row>
    <row r="350" spans="1:14" x14ac:dyDescent="0.35">
      <c r="A350" s="193" t="s">
        <v>856</v>
      </c>
    </row>
    <row r="351" spans="1:14" x14ac:dyDescent="0.35">
      <c r="A351" s="182" t="s">
        <v>836</v>
      </c>
      <c r="B351" s="299" t="s">
        <v>367</v>
      </c>
      <c r="C351" s="299"/>
      <c r="D351" s="299" t="s">
        <v>368</v>
      </c>
      <c r="E351" s="299"/>
      <c r="F351" s="151" t="s">
        <v>835</v>
      </c>
    </row>
    <row r="352" spans="1:14" x14ac:dyDescent="0.35">
      <c r="A352" s="184" t="s">
        <v>790</v>
      </c>
      <c r="B352" s="198" t="e">
        <f>SUM(B258:B269)</f>
        <v>#REF!</v>
      </c>
      <c r="C352" s="169" t="e">
        <f>SUM(C258:C269)</f>
        <v>#REF!</v>
      </c>
      <c r="D352" s="198" t="e">
        <f>SUM(D258:D269)</f>
        <v>#REF!</v>
      </c>
      <c r="E352" s="169" t="e">
        <f>SUM(E258:E269)</f>
        <v>#REF!</v>
      </c>
    </row>
    <row r="353" spans="1:12" x14ac:dyDescent="0.35">
      <c r="A353" s="184" t="s">
        <v>792</v>
      </c>
      <c r="B353" s="198" t="e">
        <f>B270</f>
        <v>#REF!</v>
      </c>
      <c r="C353" s="169" t="e">
        <f>C270</f>
        <v>#REF!</v>
      </c>
      <c r="D353" s="198" t="e">
        <f>D270</f>
        <v>#REF!</v>
      </c>
      <c r="E353" s="169" t="e">
        <f>E270</f>
        <v>#REF!</v>
      </c>
      <c r="F353" s="109"/>
    </row>
    <row r="354" spans="1:12" x14ac:dyDescent="0.35">
      <c r="A354" s="184" t="s">
        <v>794</v>
      </c>
      <c r="B354" s="198" t="e">
        <f t="shared" ref="B354:E355" si="31">B276</f>
        <v>#REF!</v>
      </c>
      <c r="C354" s="169" t="e">
        <f t="shared" si="31"/>
        <v>#REF!</v>
      </c>
      <c r="D354" s="198" t="e">
        <f t="shared" si="31"/>
        <v>#REF!</v>
      </c>
      <c r="E354" s="169" t="e">
        <f t="shared" si="31"/>
        <v>#REF!</v>
      </c>
      <c r="F354" s="150"/>
    </row>
    <row r="355" spans="1:12" x14ac:dyDescent="0.35">
      <c r="A355" s="184" t="s">
        <v>759</v>
      </c>
      <c r="B355" s="198" t="e">
        <f t="shared" si="31"/>
        <v>#REF!</v>
      </c>
      <c r="C355" s="169" t="e">
        <f t="shared" si="31"/>
        <v>#REF!</v>
      </c>
      <c r="D355" s="198" t="e">
        <f t="shared" si="31"/>
        <v>#REF!</v>
      </c>
      <c r="E355" s="169" t="e">
        <f t="shared" si="31"/>
        <v>#REF!</v>
      </c>
      <c r="F355" s="109"/>
    </row>
    <row r="356" spans="1:12" x14ac:dyDescent="0.35">
      <c r="A356" s="184" t="s">
        <v>760</v>
      </c>
      <c r="B356" s="198" t="e">
        <f t="shared" ref="B356:E360" si="32">B280</f>
        <v>#REF!</v>
      </c>
      <c r="C356" s="169" t="e">
        <f t="shared" si="32"/>
        <v>#REF!</v>
      </c>
      <c r="D356" s="198" t="e">
        <f t="shared" si="32"/>
        <v>#REF!</v>
      </c>
      <c r="E356" s="169" t="e">
        <f t="shared" si="32"/>
        <v>#REF!</v>
      </c>
      <c r="F356" s="109"/>
    </row>
    <row r="357" spans="1:12" x14ac:dyDescent="0.35">
      <c r="A357" s="184" t="s">
        <v>761</v>
      </c>
      <c r="B357" s="198" t="e">
        <f t="shared" si="32"/>
        <v>#REF!</v>
      </c>
      <c r="C357" s="169" t="e">
        <f t="shared" si="32"/>
        <v>#REF!</v>
      </c>
      <c r="D357" s="198" t="e">
        <f t="shared" si="32"/>
        <v>#REF!</v>
      </c>
      <c r="E357" s="169" t="e">
        <f t="shared" si="32"/>
        <v>#REF!</v>
      </c>
      <c r="F357" s="109"/>
    </row>
    <row r="358" spans="1:12" x14ac:dyDescent="0.35">
      <c r="A358" s="184" t="s">
        <v>762</v>
      </c>
      <c r="B358" s="198" t="e">
        <f t="shared" si="32"/>
        <v>#REF!</v>
      </c>
      <c r="C358" s="169" t="e">
        <f t="shared" si="32"/>
        <v>#REF!</v>
      </c>
      <c r="D358" s="198" t="e">
        <f t="shared" si="32"/>
        <v>#REF!</v>
      </c>
      <c r="E358" s="169" t="e">
        <f t="shared" si="32"/>
        <v>#REF!</v>
      </c>
      <c r="F358" s="109"/>
    </row>
    <row r="359" spans="1:12" x14ac:dyDescent="0.35">
      <c r="A359" s="184" t="s">
        <v>763</v>
      </c>
      <c r="B359" s="198" t="e">
        <f t="shared" si="32"/>
        <v>#REF!</v>
      </c>
      <c r="C359" s="169" t="e">
        <f t="shared" si="32"/>
        <v>#REF!</v>
      </c>
      <c r="D359" s="198" t="e">
        <f t="shared" si="32"/>
        <v>#REF!</v>
      </c>
      <c r="E359" s="169" t="e">
        <f t="shared" si="32"/>
        <v>#REF!</v>
      </c>
      <c r="F359" s="109"/>
    </row>
    <row r="360" spans="1:12" x14ac:dyDescent="0.35">
      <c r="A360" s="184" t="s">
        <v>793</v>
      </c>
      <c r="B360" s="198" t="e">
        <f t="shared" si="32"/>
        <v>#REF!</v>
      </c>
      <c r="C360" s="169" t="e">
        <f t="shared" si="32"/>
        <v>#REF!</v>
      </c>
      <c r="D360" s="198" t="e">
        <f t="shared" si="32"/>
        <v>#REF!</v>
      </c>
      <c r="E360" s="169" t="e">
        <f t="shared" si="32"/>
        <v>#REF!</v>
      </c>
      <c r="F360" s="109"/>
      <c r="G360" s="192"/>
      <c r="H360" s="192"/>
      <c r="I360" s="192"/>
      <c r="J360" s="192"/>
      <c r="K360" s="192"/>
      <c r="L360" s="192"/>
    </row>
    <row r="361" spans="1:12" x14ac:dyDescent="0.35">
      <c r="A361" s="184" t="s">
        <v>764</v>
      </c>
      <c r="B361" s="198" t="e">
        <f t="shared" ref="B361:E363" si="33">B286</f>
        <v>#REF!</v>
      </c>
      <c r="C361" s="169" t="e">
        <f t="shared" si="33"/>
        <v>#REF!</v>
      </c>
      <c r="D361" s="198" t="e">
        <f t="shared" si="33"/>
        <v>#REF!</v>
      </c>
      <c r="E361" s="169" t="e">
        <f t="shared" si="33"/>
        <v>#REF!</v>
      </c>
      <c r="F361" s="109"/>
    </row>
    <row r="362" spans="1:12" x14ac:dyDescent="0.35">
      <c r="A362" s="184" t="s">
        <v>765</v>
      </c>
      <c r="B362" s="198" t="e">
        <f t="shared" si="33"/>
        <v>#REF!</v>
      </c>
      <c r="C362" s="169" t="e">
        <f t="shared" si="33"/>
        <v>#REF!</v>
      </c>
      <c r="D362" s="198" t="e">
        <f t="shared" si="33"/>
        <v>#REF!</v>
      </c>
      <c r="E362" s="169" t="e">
        <f t="shared" si="33"/>
        <v>#REF!</v>
      </c>
      <c r="F362" s="109"/>
    </row>
    <row r="363" spans="1:12" x14ac:dyDescent="0.35">
      <c r="A363" s="184" t="s">
        <v>766</v>
      </c>
      <c r="B363" s="198" t="e">
        <f t="shared" si="33"/>
        <v>#REF!</v>
      </c>
      <c r="C363" s="169" t="e">
        <f t="shared" si="33"/>
        <v>#REF!</v>
      </c>
      <c r="D363" s="198" t="e">
        <f t="shared" si="33"/>
        <v>#REF!</v>
      </c>
      <c r="E363" s="169" t="e">
        <f t="shared" si="33"/>
        <v>#REF!</v>
      </c>
      <c r="F363" s="109"/>
    </row>
    <row r="364" spans="1:12" x14ac:dyDescent="0.35">
      <c r="A364" s="184" t="s">
        <v>846</v>
      </c>
      <c r="B364" s="198" t="e">
        <f>B285</f>
        <v>#REF!</v>
      </c>
      <c r="C364" s="169" t="e">
        <f>C285</f>
        <v>#REF!</v>
      </c>
      <c r="D364" s="198" t="e">
        <f>D285</f>
        <v>#REF!</v>
      </c>
      <c r="E364" s="169" t="e">
        <f>E285</f>
        <v>#REF!</v>
      </c>
      <c r="F364" s="109" t="s">
        <v>850</v>
      </c>
    </row>
    <row r="365" spans="1:12" x14ac:dyDescent="0.35">
      <c r="A365" s="184" t="s">
        <v>847</v>
      </c>
      <c r="B365" s="198" t="e">
        <f>B289</f>
        <v>#REF!</v>
      </c>
      <c r="C365" s="169" t="e">
        <f>C285+C289</f>
        <v>#REF!</v>
      </c>
      <c r="D365" s="198" t="e">
        <f>D285+D289</f>
        <v>#REF!</v>
      </c>
      <c r="E365" s="169" t="e">
        <f>E285+E289</f>
        <v>#REF!</v>
      </c>
      <c r="F365" s="109" t="s">
        <v>849</v>
      </c>
    </row>
    <row r="366" spans="1:12" x14ac:dyDescent="0.35">
      <c r="A366" s="184" t="s">
        <v>767</v>
      </c>
      <c r="B366" s="198" t="e">
        <f>B291</f>
        <v>#REF!</v>
      </c>
      <c r="C366" s="169" t="e">
        <f>C291</f>
        <v>#REF!</v>
      </c>
      <c r="D366" s="198" t="e">
        <f>D291</f>
        <v>#REF!</v>
      </c>
      <c r="E366" s="169" t="e">
        <f>E291</f>
        <v>#REF!</v>
      </c>
      <c r="F366" s="170"/>
    </row>
    <row r="367" spans="1:12" x14ac:dyDescent="0.35">
      <c r="A367" s="184" t="s">
        <v>851</v>
      </c>
      <c r="B367" s="198" t="e">
        <f>B292+B272+B273+B274+B275</f>
        <v>#REF!</v>
      </c>
      <c r="C367" s="169" t="e">
        <f>C292+C272+C273+C274+C275</f>
        <v>#REF!</v>
      </c>
      <c r="D367" s="198" t="e">
        <f>D292+D272+D273+D274+D275</f>
        <v>#REF!</v>
      </c>
      <c r="E367" s="169" t="e">
        <f>E292+E272+E273+E274+E275</f>
        <v>#REF!</v>
      </c>
      <c r="F367" s="184" t="s">
        <v>852</v>
      </c>
    </row>
    <row r="368" spans="1:12" x14ac:dyDescent="0.35">
      <c r="A368" s="184" t="s">
        <v>768</v>
      </c>
      <c r="B368" s="198" t="e">
        <f t="shared" ref="B368:E370" si="34">B296</f>
        <v>#REF!</v>
      </c>
      <c r="C368" s="169" t="e">
        <f t="shared" si="34"/>
        <v>#REF!</v>
      </c>
      <c r="D368" s="198" t="e">
        <f t="shared" si="34"/>
        <v>#REF!</v>
      </c>
      <c r="E368" s="169" t="e">
        <f t="shared" si="34"/>
        <v>#REF!</v>
      </c>
      <c r="F368" s="109"/>
    </row>
    <row r="369" spans="1:6" x14ac:dyDescent="0.35">
      <c r="A369" s="184" t="s">
        <v>769</v>
      </c>
      <c r="B369" s="198" t="e">
        <f t="shared" si="34"/>
        <v>#REF!</v>
      </c>
      <c r="C369" s="169" t="e">
        <f t="shared" si="34"/>
        <v>#REF!</v>
      </c>
      <c r="D369" s="198" t="e">
        <f t="shared" si="34"/>
        <v>#REF!</v>
      </c>
      <c r="E369" s="169" t="e">
        <f t="shared" si="34"/>
        <v>#REF!</v>
      </c>
      <c r="F369" s="109"/>
    </row>
    <row r="370" spans="1:6" x14ac:dyDescent="0.35">
      <c r="A370" s="184" t="s">
        <v>797</v>
      </c>
      <c r="B370" s="198" t="e">
        <f t="shared" si="34"/>
        <v>#REF!</v>
      </c>
      <c r="C370" s="169" t="e">
        <f t="shared" si="34"/>
        <v>#REF!</v>
      </c>
      <c r="D370" s="198" t="e">
        <f t="shared" si="34"/>
        <v>#REF!</v>
      </c>
      <c r="E370" s="169" t="e">
        <f t="shared" si="34"/>
        <v>#REF!</v>
      </c>
      <c r="F370" s="184" t="s">
        <v>840</v>
      </c>
    </row>
    <row r="371" spans="1:6" x14ac:dyDescent="0.35">
      <c r="A371" s="184" t="s">
        <v>770</v>
      </c>
      <c r="B371" s="198" t="e">
        <f t="shared" ref="B371:E375" si="35">B300</f>
        <v>#REF!</v>
      </c>
      <c r="C371" s="169" t="e">
        <f t="shared" si="35"/>
        <v>#REF!</v>
      </c>
      <c r="D371" s="198" t="e">
        <f t="shared" si="35"/>
        <v>#REF!</v>
      </c>
      <c r="E371" s="169" t="e">
        <f t="shared" si="35"/>
        <v>#REF!</v>
      </c>
      <c r="F371" s="109"/>
    </row>
    <row r="372" spans="1:6" x14ac:dyDescent="0.35">
      <c r="A372" s="184" t="s">
        <v>771</v>
      </c>
      <c r="B372" s="198" t="e">
        <f t="shared" si="35"/>
        <v>#REF!</v>
      </c>
      <c r="C372" s="169" t="e">
        <f t="shared" si="35"/>
        <v>#REF!</v>
      </c>
      <c r="D372" s="198" t="e">
        <f t="shared" si="35"/>
        <v>#REF!</v>
      </c>
      <c r="E372" s="169" t="e">
        <f t="shared" si="35"/>
        <v>#REF!</v>
      </c>
      <c r="F372" s="109"/>
    </row>
    <row r="373" spans="1:6" x14ac:dyDescent="0.35">
      <c r="A373" s="184" t="s">
        <v>772</v>
      </c>
      <c r="B373" s="198" t="e">
        <f t="shared" si="35"/>
        <v>#REF!</v>
      </c>
      <c r="C373" s="169" t="e">
        <f t="shared" si="35"/>
        <v>#REF!</v>
      </c>
      <c r="D373" s="198" t="e">
        <f t="shared" si="35"/>
        <v>#REF!</v>
      </c>
      <c r="E373" s="169" t="e">
        <f t="shared" si="35"/>
        <v>#REF!</v>
      </c>
      <c r="F373" s="109"/>
    </row>
    <row r="374" spans="1:6" x14ac:dyDescent="0.35">
      <c r="A374" s="184" t="s">
        <v>773</v>
      </c>
      <c r="B374" s="198" t="e">
        <f t="shared" si="35"/>
        <v>#REF!</v>
      </c>
      <c r="C374" s="169" t="e">
        <f t="shared" si="35"/>
        <v>#REF!</v>
      </c>
      <c r="D374" s="198" t="e">
        <f t="shared" si="35"/>
        <v>#REF!</v>
      </c>
      <c r="E374" s="169" t="e">
        <f t="shared" si="35"/>
        <v>#REF!</v>
      </c>
      <c r="F374" s="109"/>
    </row>
    <row r="375" spans="1:6" x14ac:dyDescent="0.35">
      <c r="A375" s="184" t="s">
        <v>796</v>
      </c>
      <c r="B375" s="198" t="e">
        <f t="shared" si="35"/>
        <v>#REF!</v>
      </c>
      <c r="C375" s="169" t="e">
        <f t="shared" si="35"/>
        <v>#REF!</v>
      </c>
      <c r="D375" s="198" t="e">
        <f t="shared" si="35"/>
        <v>#REF!</v>
      </c>
      <c r="E375" s="169" t="e">
        <f t="shared" si="35"/>
        <v>#REF!</v>
      </c>
      <c r="F375" s="184" t="s">
        <v>841</v>
      </c>
    </row>
    <row r="376" spans="1:6" x14ac:dyDescent="0.35">
      <c r="A376" s="184" t="s">
        <v>774</v>
      </c>
      <c r="B376" s="198" t="e">
        <f t="shared" ref="B376:E379" si="36">B307</f>
        <v>#REF!</v>
      </c>
      <c r="C376" s="169" t="e">
        <f t="shared" si="36"/>
        <v>#REF!</v>
      </c>
      <c r="D376" s="198" t="e">
        <f t="shared" si="36"/>
        <v>#REF!</v>
      </c>
      <c r="E376" s="169" t="e">
        <f t="shared" si="36"/>
        <v>#REF!</v>
      </c>
      <c r="F376" s="109"/>
    </row>
    <row r="377" spans="1:6" x14ac:dyDescent="0.35">
      <c r="A377" s="184" t="s">
        <v>775</v>
      </c>
      <c r="B377" s="198" t="e">
        <f t="shared" si="36"/>
        <v>#REF!</v>
      </c>
      <c r="C377" s="169" t="e">
        <f t="shared" si="36"/>
        <v>#REF!</v>
      </c>
      <c r="D377" s="198" t="e">
        <f t="shared" si="36"/>
        <v>#REF!</v>
      </c>
      <c r="E377" s="169" t="e">
        <f t="shared" si="36"/>
        <v>#REF!</v>
      </c>
      <c r="F377" s="109"/>
    </row>
    <row r="378" spans="1:6" x14ac:dyDescent="0.35">
      <c r="A378" s="184" t="s">
        <v>776</v>
      </c>
      <c r="B378" s="198" t="e">
        <f t="shared" si="36"/>
        <v>#REF!</v>
      </c>
      <c r="C378" s="169" t="e">
        <f t="shared" si="36"/>
        <v>#REF!</v>
      </c>
      <c r="D378" s="198" t="e">
        <f t="shared" si="36"/>
        <v>#REF!</v>
      </c>
      <c r="E378" s="169" t="e">
        <f t="shared" si="36"/>
        <v>#REF!</v>
      </c>
      <c r="F378" s="109"/>
    </row>
    <row r="379" spans="1:6" x14ac:dyDescent="0.35">
      <c r="A379" s="184" t="s">
        <v>795</v>
      </c>
      <c r="B379" s="198" t="e">
        <f t="shared" si="36"/>
        <v>#REF!</v>
      </c>
      <c r="C379" s="169" t="e">
        <f t="shared" si="36"/>
        <v>#REF!</v>
      </c>
      <c r="D379" s="198" t="e">
        <f t="shared" si="36"/>
        <v>#REF!</v>
      </c>
      <c r="E379" s="169" t="e">
        <f t="shared" si="36"/>
        <v>#REF!</v>
      </c>
      <c r="F379" s="184" t="s">
        <v>842</v>
      </c>
    </row>
    <row r="380" spans="1:6" x14ac:dyDescent="0.35">
      <c r="A380" s="184" t="s">
        <v>647</v>
      </c>
      <c r="B380" s="198" t="e">
        <f t="shared" ref="B380:E383" si="37">B312</f>
        <v>#REF!</v>
      </c>
      <c r="C380" s="169" t="e">
        <f t="shared" si="37"/>
        <v>#REF!</v>
      </c>
      <c r="D380" s="198" t="e">
        <f t="shared" si="37"/>
        <v>#REF!</v>
      </c>
      <c r="E380" s="169" t="e">
        <f t="shared" si="37"/>
        <v>#REF!</v>
      </c>
      <c r="F380" s="109"/>
    </row>
    <row r="381" spans="1:6" x14ac:dyDescent="0.35">
      <c r="A381" s="184" t="s">
        <v>777</v>
      </c>
      <c r="B381" s="198" t="e">
        <f t="shared" si="37"/>
        <v>#REF!</v>
      </c>
      <c r="C381" s="169" t="e">
        <f t="shared" si="37"/>
        <v>#REF!</v>
      </c>
      <c r="D381" s="198" t="e">
        <f t="shared" si="37"/>
        <v>#REF!</v>
      </c>
      <c r="E381" s="169" t="e">
        <f t="shared" si="37"/>
        <v>#REF!</v>
      </c>
      <c r="F381" s="109"/>
    </row>
    <row r="382" spans="1:6" x14ac:dyDescent="0.35">
      <c r="A382" s="184" t="s">
        <v>778</v>
      </c>
      <c r="B382" s="198" t="e">
        <f t="shared" si="37"/>
        <v>#REF!</v>
      </c>
      <c r="C382" s="169" t="e">
        <f t="shared" si="37"/>
        <v>#REF!</v>
      </c>
      <c r="D382" s="198" t="e">
        <f t="shared" si="37"/>
        <v>#REF!</v>
      </c>
      <c r="E382" s="169" t="e">
        <f t="shared" si="37"/>
        <v>#REF!</v>
      </c>
      <c r="F382" s="109"/>
    </row>
    <row r="383" spans="1:6" x14ac:dyDescent="0.35">
      <c r="A383" s="184" t="s">
        <v>798</v>
      </c>
      <c r="B383" s="198" t="e">
        <f t="shared" si="37"/>
        <v>#REF!</v>
      </c>
      <c r="C383" s="169" t="e">
        <f t="shared" si="37"/>
        <v>#REF!</v>
      </c>
      <c r="D383" s="198" t="e">
        <f t="shared" si="37"/>
        <v>#REF!</v>
      </c>
      <c r="E383" s="169" t="e">
        <f t="shared" si="37"/>
        <v>#REF!</v>
      </c>
      <c r="F383" s="184" t="s">
        <v>843</v>
      </c>
    </row>
    <row r="384" spans="1:6" x14ac:dyDescent="0.35">
      <c r="A384" s="184" t="s">
        <v>779</v>
      </c>
      <c r="B384" s="198" t="e">
        <f t="shared" ref="B384:E389" si="38">B317</f>
        <v>#REF!</v>
      </c>
      <c r="C384" s="169" t="e">
        <f t="shared" si="38"/>
        <v>#REF!</v>
      </c>
      <c r="D384" s="198" t="e">
        <f t="shared" si="38"/>
        <v>#REF!</v>
      </c>
      <c r="E384" s="169" t="e">
        <f t="shared" si="38"/>
        <v>#REF!</v>
      </c>
      <c r="F384" s="109"/>
    </row>
    <row r="385" spans="1:6" x14ac:dyDescent="0.35">
      <c r="A385" s="184" t="s">
        <v>646</v>
      </c>
      <c r="B385" s="198" t="e">
        <f t="shared" si="38"/>
        <v>#REF!</v>
      </c>
      <c r="C385" s="169" t="e">
        <f t="shared" si="38"/>
        <v>#REF!</v>
      </c>
      <c r="D385" s="198" t="e">
        <f t="shared" si="38"/>
        <v>#REF!</v>
      </c>
      <c r="E385" s="169" t="e">
        <f t="shared" si="38"/>
        <v>#REF!</v>
      </c>
      <c r="F385" s="109"/>
    </row>
    <row r="386" spans="1:6" x14ac:dyDescent="0.35">
      <c r="A386" s="184" t="s">
        <v>648</v>
      </c>
      <c r="B386" s="198" t="e">
        <f t="shared" si="38"/>
        <v>#REF!</v>
      </c>
      <c r="C386" s="169" t="e">
        <f t="shared" si="38"/>
        <v>#REF!</v>
      </c>
      <c r="D386" s="198" t="e">
        <f t="shared" si="38"/>
        <v>#REF!</v>
      </c>
      <c r="E386" s="169" t="e">
        <f t="shared" si="38"/>
        <v>#REF!</v>
      </c>
      <c r="F386" s="109"/>
    </row>
    <row r="387" spans="1:6" x14ac:dyDescent="0.35">
      <c r="A387" s="184" t="s">
        <v>649</v>
      </c>
      <c r="B387" s="198" t="e">
        <f t="shared" si="38"/>
        <v>#REF!</v>
      </c>
      <c r="C387" s="169" t="e">
        <f t="shared" si="38"/>
        <v>#REF!</v>
      </c>
      <c r="D387" s="198" t="e">
        <f t="shared" si="38"/>
        <v>#REF!</v>
      </c>
      <c r="E387" s="169" t="e">
        <f t="shared" si="38"/>
        <v>#REF!</v>
      </c>
      <c r="F387" s="109"/>
    </row>
    <row r="388" spans="1:6" x14ac:dyDescent="0.35">
      <c r="A388" s="184" t="s">
        <v>780</v>
      </c>
      <c r="B388" s="198" t="e">
        <f t="shared" si="38"/>
        <v>#REF!</v>
      </c>
      <c r="C388" s="169" t="e">
        <f t="shared" si="38"/>
        <v>#REF!</v>
      </c>
      <c r="D388" s="198" t="e">
        <f t="shared" si="38"/>
        <v>#REF!</v>
      </c>
      <c r="E388" s="169" t="e">
        <f t="shared" si="38"/>
        <v>#REF!</v>
      </c>
      <c r="F388" s="109"/>
    </row>
    <row r="389" spans="1:6" x14ac:dyDescent="0.35">
      <c r="A389" s="184" t="s">
        <v>799</v>
      </c>
      <c r="B389" s="198" t="e">
        <f t="shared" si="38"/>
        <v>#REF!</v>
      </c>
      <c r="C389" s="169" t="e">
        <f t="shared" si="38"/>
        <v>#REF!</v>
      </c>
      <c r="D389" s="198" t="e">
        <f t="shared" si="38"/>
        <v>#REF!</v>
      </c>
      <c r="E389" s="169" t="e">
        <f t="shared" si="38"/>
        <v>#REF!</v>
      </c>
      <c r="F389" s="184" t="s">
        <v>844</v>
      </c>
    </row>
    <row r="390" spans="1:6" x14ac:dyDescent="0.35">
      <c r="A390" s="184" t="s">
        <v>781</v>
      </c>
      <c r="B390" s="198" t="e">
        <f t="shared" ref="B390:E395" si="39">B324</f>
        <v>#REF!</v>
      </c>
      <c r="C390" s="169" t="e">
        <f t="shared" si="39"/>
        <v>#REF!</v>
      </c>
      <c r="D390" s="198" t="e">
        <f t="shared" si="39"/>
        <v>#REF!</v>
      </c>
      <c r="E390" s="169" t="e">
        <f t="shared" si="39"/>
        <v>#REF!</v>
      </c>
      <c r="F390" s="109"/>
    </row>
    <row r="391" spans="1:6" x14ac:dyDescent="0.35">
      <c r="A391" s="184" t="s">
        <v>782</v>
      </c>
      <c r="B391" s="198" t="e">
        <f t="shared" si="39"/>
        <v>#REF!</v>
      </c>
      <c r="C391" s="169" t="e">
        <f t="shared" si="39"/>
        <v>#REF!</v>
      </c>
      <c r="D391" s="198" t="e">
        <f t="shared" si="39"/>
        <v>#REF!</v>
      </c>
      <c r="E391" s="169" t="e">
        <f t="shared" si="39"/>
        <v>#REF!</v>
      </c>
      <c r="F391" s="109"/>
    </row>
    <row r="392" spans="1:6" x14ac:dyDescent="0.35">
      <c r="A392" s="184" t="s">
        <v>783</v>
      </c>
      <c r="B392" s="198" t="e">
        <f t="shared" si="39"/>
        <v>#REF!</v>
      </c>
      <c r="C392" s="169" t="e">
        <f t="shared" si="39"/>
        <v>#REF!</v>
      </c>
      <c r="D392" s="198" t="e">
        <f t="shared" si="39"/>
        <v>#REF!</v>
      </c>
      <c r="E392" s="169" t="e">
        <f t="shared" si="39"/>
        <v>#REF!</v>
      </c>
      <c r="F392" s="109"/>
    </row>
    <row r="393" spans="1:6" x14ac:dyDescent="0.35">
      <c r="A393" s="184" t="s">
        <v>800</v>
      </c>
      <c r="B393" s="198" t="e">
        <f t="shared" si="39"/>
        <v>#REF!</v>
      </c>
      <c r="C393" s="169" t="e">
        <f t="shared" si="39"/>
        <v>#REF!</v>
      </c>
      <c r="D393" s="198" t="e">
        <f t="shared" si="39"/>
        <v>#REF!</v>
      </c>
      <c r="E393" s="169" t="e">
        <f t="shared" si="39"/>
        <v>#REF!</v>
      </c>
      <c r="F393" s="184" t="s">
        <v>845</v>
      </c>
    </row>
    <row r="394" spans="1:6" x14ac:dyDescent="0.35">
      <c r="A394" s="184" t="s">
        <v>801</v>
      </c>
      <c r="B394" s="198" t="e">
        <f t="shared" si="39"/>
        <v>#REF!</v>
      </c>
      <c r="C394" s="169" t="e">
        <f t="shared" si="39"/>
        <v>#REF!</v>
      </c>
      <c r="D394" s="198" t="e">
        <f t="shared" si="39"/>
        <v>#REF!</v>
      </c>
      <c r="E394" s="169" t="e">
        <f t="shared" si="39"/>
        <v>#REF!</v>
      </c>
      <c r="F394" s="109"/>
    </row>
    <row r="395" spans="1:6" x14ac:dyDescent="0.35">
      <c r="A395" s="184" t="s">
        <v>802</v>
      </c>
      <c r="B395" s="198" t="e">
        <f t="shared" si="39"/>
        <v>#REF!</v>
      </c>
      <c r="C395" s="169" t="e">
        <f t="shared" si="39"/>
        <v>#REF!</v>
      </c>
      <c r="D395" s="198" t="e">
        <f t="shared" si="39"/>
        <v>#REF!</v>
      </c>
      <c r="E395" s="169" t="e">
        <f t="shared" si="39"/>
        <v>#REF!</v>
      </c>
      <c r="F395" s="109"/>
    </row>
    <row r="396" spans="1:6" x14ac:dyDescent="0.35">
      <c r="A396" s="184" t="s">
        <v>784</v>
      </c>
      <c r="B396" s="198" t="e">
        <f t="shared" ref="B396:E400" si="40">B332</f>
        <v>#REF!</v>
      </c>
      <c r="C396" s="169" t="e">
        <f t="shared" si="40"/>
        <v>#REF!</v>
      </c>
      <c r="D396" s="198" t="e">
        <f t="shared" si="40"/>
        <v>#REF!</v>
      </c>
      <c r="E396" s="169" t="e">
        <f t="shared" si="40"/>
        <v>#REF!</v>
      </c>
      <c r="F396" s="109"/>
    </row>
    <row r="397" spans="1:6" x14ac:dyDescent="0.35">
      <c r="A397" s="184" t="s">
        <v>785</v>
      </c>
      <c r="B397" s="198" t="e">
        <f t="shared" si="40"/>
        <v>#REF!</v>
      </c>
      <c r="C397" s="169" t="e">
        <f t="shared" si="40"/>
        <v>#REF!</v>
      </c>
      <c r="D397" s="198" t="e">
        <f t="shared" si="40"/>
        <v>#REF!</v>
      </c>
      <c r="E397" s="169" t="e">
        <f t="shared" si="40"/>
        <v>#REF!</v>
      </c>
      <c r="F397" s="109"/>
    </row>
    <row r="398" spans="1:6" x14ac:dyDescent="0.35">
      <c r="A398" s="184" t="s">
        <v>803</v>
      </c>
      <c r="B398" s="198" t="e">
        <f t="shared" si="40"/>
        <v>#REF!</v>
      </c>
      <c r="C398" s="169" t="e">
        <f t="shared" si="40"/>
        <v>#REF!</v>
      </c>
      <c r="D398" s="198" t="e">
        <f t="shared" si="40"/>
        <v>#REF!</v>
      </c>
      <c r="E398" s="169" t="e">
        <f t="shared" si="40"/>
        <v>#REF!</v>
      </c>
      <c r="F398" s="184" t="s">
        <v>839</v>
      </c>
    </row>
    <row r="399" spans="1:6" x14ac:dyDescent="0.35">
      <c r="A399" s="184" t="s">
        <v>804</v>
      </c>
      <c r="B399" s="198" t="e">
        <f t="shared" si="40"/>
        <v>#REF!</v>
      </c>
      <c r="C399" s="169" t="e">
        <f t="shared" si="40"/>
        <v>#REF!</v>
      </c>
      <c r="D399" s="198" t="e">
        <f t="shared" si="40"/>
        <v>#REF!</v>
      </c>
      <c r="E399" s="169" t="e">
        <f t="shared" si="40"/>
        <v>#REF!</v>
      </c>
      <c r="F399" s="109"/>
    </row>
    <row r="400" spans="1:6" x14ac:dyDescent="0.35">
      <c r="A400" s="184" t="s">
        <v>805</v>
      </c>
      <c r="B400" s="198" t="e">
        <f t="shared" si="40"/>
        <v>#REF!</v>
      </c>
      <c r="C400" s="169" t="e">
        <f t="shared" si="40"/>
        <v>#REF!</v>
      </c>
      <c r="D400" s="198" t="e">
        <f t="shared" si="40"/>
        <v>#REF!</v>
      </c>
      <c r="E400" s="169" t="e">
        <f t="shared" si="40"/>
        <v>#REF!</v>
      </c>
      <c r="F400" s="109"/>
    </row>
    <row r="401" spans="1:6" x14ac:dyDescent="0.35">
      <c r="A401" s="184" t="s">
        <v>786</v>
      </c>
      <c r="B401" s="198" t="e">
        <f t="shared" ref="B401:E402" si="41">B338</f>
        <v>#REF!</v>
      </c>
      <c r="C401" s="169" t="e">
        <f t="shared" si="41"/>
        <v>#REF!</v>
      </c>
      <c r="D401" s="198" t="e">
        <f t="shared" si="41"/>
        <v>#REF!</v>
      </c>
      <c r="E401" s="169" t="e">
        <f t="shared" si="41"/>
        <v>#REF!</v>
      </c>
      <c r="F401" s="109"/>
    </row>
    <row r="402" spans="1:6" x14ac:dyDescent="0.35">
      <c r="A402" s="184" t="s">
        <v>806</v>
      </c>
      <c r="B402" s="198" t="e">
        <f t="shared" si="41"/>
        <v>#REF!</v>
      </c>
      <c r="C402" s="169" t="e">
        <f t="shared" si="41"/>
        <v>#REF!</v>
      </c>
      <c r="D402" s="198" t="e">
        <f t="shared" si="41"/>
        <v>#REF!</v>
      </c>
      <c r="E402" s="169" t="e">
        <f t="shared" si="41"/>
        <v>#REF!</v>
      </c>
      <c r="F402" s="184" t="s">
        <v>838</v>
      </c>
    </row>
    <row r="403" spans="1:6" x14ac:dyDescent="0.35">
      <c r="A403" s="184" t="s">
        <v>787</v>
      </c>
      <c r="B403" s="198" t="e">
        <f t="shared" ref="B403:E407" si="42">B342</f>
        <v>#REF!</v>
      </c>
      <c r="C403" s="169" t="e">
        <f t="shared" si="42"/>
        <v>#REF!</v>
      </c>
      <c r="D403" s="198" t="e">
        <f t="shared" si="42"/>
        <v>#REF!</v>
      </c>
      <c r="E403" s="169" t="e">
        <f t="shared" si="42"/>
        <v>#REF!</v>
      </c>
      <c r="F403" s="109"/>
    </row>
    <row r="404" spans="1:6" x14ac:dyDescent="0.35">
      <c r="A404" s="184" t="s">
        <v>788</v>
      </c>
      <c r="B404" s="198" t="e">
        <f t="shared" si="42"/>
        <v>#REF!</v>
      </c>
      <c r="C404" s="169" t="e">
        <f t="shared" si="42"/>
        <v>#REF!</v>
      </c>
      <c r="D404" s="198" t="e">
        <f t="shared" si="42"/>
        <v>#REF!</v>
      </c>
      <c r="E404" s="169" t="e">
        <f t="shared" si="42"/>
        <v>#REF!</v>
      </c>
      <c r="F404" s="109"/>
    </row>
    <row r="405" spans="1:6" x14ac:dyDescent="0.35">
      <c r="A405" s="184" t="s">
        <v>807</v>
      </c>
      <c r="B405" s="198" t="e">
        <f t="shared" si="42"/>
        <v>#REF!</v>
      </c>
      <c r="C405" s="169" t="e">
        <f t="shared" si="42"/>
        <v>#REF!</v>
      </c>
      <c r="D405" s="198" t="e">
        <f t="shared" si="42"/>
        <v>#REF!</v>
      </c>
      <c r="E405" s="169" t="e">
        <f t="shared" si="42"/>
        <v>#REF!</v>
      </c>
      <c r="F405" s="184" t="s">
        <v>837</v>
      </c>
    </row>
    <row r="406" spans="1:6" x14ac:dyDescent="0.35">
      <c r="A406" s="184" t="s">
        <v>808</v>
      </c>
      <c r="B406" s="198" t="e">
        <f t="shared" si="42"/>
        <v>#REF!</v>
      </c>
      <c r="C406" s="169" t="e">
        <f t="shared" si="42"/>
        <v>#REF!</v>
      </c>
      <c r="D406" s="198" t="e">
        <f t="shared" si="42"/>
        <v>#REF!</v>
      </c>
      <c r="E406" s="169" t="e">
        <f t="shared" si="42"/>
        <v>#REF!</v>
      </c>
      <c r="F406" s="109"/>
    </row>
    <row r="407" spans="1:6" x14ac:dyDescent="0.35">
      <c r="A407" s="184" t="s">
        <v>789</v>
      </c>
      <c r="B407" s="198" t="e">
        <f t="shared" si="42"/>
        <v>#REF!</v>
      </c>
      <c r="C407" s="169" t="e">
        <f t="shared" si="42"/>
        <v>#REF!</v>
      </c>
      <c r="D407" s="198" t="e">
        <f t="shared" si="42"/>
        <v>#REF!</v>
      </c>
      <c r="E407" s="169" t="e">
        <f t="shared" si="42"/>
        <v>#REF!</v>
      </c>
      <c r="F407" s="109"/>
    </row>
    <row r="408" spans="1:6" x14ac:dyDescent="0.35">
      <c r="A408" s="109"/>
      <c r="B408" s="109"/>
      <c r="C408" s="109"/>
    </row>
    <row r="409" spans="1:6" x14ac:dyDescent="0.35">
      <c r="A409" s="182" t="s">
        <v>833</v>
      </c>
      <c r="B409" s="151" t="s">
        <v>834</v>
      </c>
      <c r="C409" s="109"/>
    </row>
    <row r="410" spans="1:6" x14ac:dyDescent="0.35">
      <c r="A410" s="175" t="e">
        <f>INDEX(Calculations!$A$352:$A$407,MATCH(LARGE(Calculations!$C$352:$C$407,1),Calculations!$C$352:$C$407,0))</f>
        <v>#REF!</v>
      </c>
      <c r="B410" s="109" t="e">
        <f>IF(VLOOKUP(A410,$A$352:$F$407,6,FALSE)=0,"",VLOOKUP(A410,$A$352:$F$407,6,FALSE))</f>
        <v>#REF!</v>
      </c>
      <c r="C410" s="109"/>
    </row>
    <row r="411" spans="1:6" x14ac:dyDescent="0.35">
      <c r="A411" s="175" t="e">
        <f>INDEX(Calculations!$A$352:$A$407,MATCH(LARGE(Calculations!$C$352:$C$407,2),Calculations!$C$352:$C$407,0))</f>
        <v>#REF!</v>
      </c>
      <c r="B411" s="109" t="e">
        <f t="shared" ref="B411:B429" si="43">IF(VLOOKUP(A411,$A$352:$F$407,6,FALSE)=0,"",VLOOKUP(A411,$A$352:$F$407,6,FALSE))</f>
        <v>#REF!</v>
      </c>
      <c r="C411" s="109"/>
    </row>
    <row r="412" spans="1:6" x14ac:dyDescent="0.35">
      <c r="A412" s="175" t="e">
        <f>INDEX(Calculations!$A$352:$A$407,MATCH(LARGE(Calculations!$C$352:$C$407,3),Calculations!$C$352:$C$407,0))</f>
        <v>#REF!</v>
      </c>
      <c r="B412" s="109" t="e">
        <f t="shared" si="43"/>
        <v>#REF!</v>
      </c>
      <c r="C412" s="109"/>
    </row>
    <row r="413" spans="1:6" x14ac:dyDescent="0.35">
      <c r="A413" s="175" t="e">
        <f>INDEX(Calculations!$A$352:$A$407,MATCH(LARGE(Calculations!$C$352:$C$407,4),Calculations!$C$352:$C$407,0))</f>
        <v>#REF!</v>
      </c>
      <c r="B413" s="109" t="e">
        <f t="shared" si="43"/>
        <v>#REF!</v>
      </c>
      <c r="C413" s="109"/>
    </row>
    <row r="414" spans="1:6" x14ac:dyDescent="0.35">
      <c r="A414" s="175" t="e">
        <f>INDEX(Calculations!$A$352:$A$407,MATCH(LARGE(Calculations!$C$352:$C$407,5),Calculations!$C$352:$C$407,0))</f>
        <v>#REF!</v>
      </c>
      <c r="B414" s="109" t="e">
        <f t="shared" si="43"/>
        <v>#REF!</v>
      </c>
      <c r="C414" s="109"/>
    </row>
    <row r="415" spans="1:6" x14ac:dyDescent="0.35">
      <c r="A415" s="175" t="e">
        <f>INDEX(Calculations!$A$352:$A$407,MATCH(LARGE(Calculations!$C$352:$C$407,6),Calculations!$C$352:$C$407,0))</f>
        <v>#REF!</v>
      </c>
      <c r="B415" s="109" t="e">
        <f t="shared" si="43"/>
        <v>#REF!</v>
      </c>
      <c r="C415" s="109"/>
    </row>
    <row r="416" spans="1:6" x14ac:dyDescent="0.35">
      <c r="A416" s="175" t="e">
        <f>INDEX(Calculations!$A$352:$A$407,MATCH(LARGE(Calculations!$C$352:$C$407,7),Calculations!$C$352:$C$407,0))</f>
        <v>#REF!</v>
      </c>
      <c r="B416" s="109" t="e">
        <f t="shared" si="43"/>
        <v>#REF!</v>
      </c>
      <c r="C416" s="109"/>
    </row>
    <row r="417" spans="1:3" x14ac:dyDescent="0.35">
      <c r="A417" s="175" t="e">
        <f>INDEX(Calculations!$A$352:$A$407,MATCH(LARGE(Calculations!$C$352:$C$407,8),Calculations!$C$352:$C$407,0))</f>
        <v>#REF!</v>
      </c>
      <c r="B417" s="109" t="e">
        <f t="shared" si="43"/>
        <v>#REF!</v>
      </c>
      <c r="C417" s="109"/>
    </row>
    <row r="418" spans="1:3" x14ac:dyDescent="0.35">
      <c r="A418" s="175" t="e">
        <f>INDEX(Calculations!$A$352:$A$407,MATCH(LARGE(Calculations!$C$352:$C$407,9),Calculations!$C$352:$C$407,0))</f>
        <v>#REF!</v>
      </c>
      <c r="B418" s="109" t="e">
        <f t="shared" si="43"/>
        <v>#REF!</v>
      </c>
      <c r="C418" s="109"/>
    </row>
    <row r="419" spans="1:3" x14ac:dyDescent="0.35">
      <c r="A419" s="175" t="e">
        <f>INDEX(Calculations!$A$352:$A$407,MATCH(LARGE(Calculations!$C$352:$C$407,10),Calculations!$C$352:$C$407,0))</f>
        <v>#REF!</v>
      </c>
      <c r="B419" s="109" t="e">
        <f t="shared" si="43"/>
        <v>#REF!</v>
      </c>
      <c r="C419" s="109"/>
    </row>
    <row r="420" spans="1:3" x14ac:dyDescent="0.35">
      <c r="A420" s="175" t="e">
        <f>INDEX(Calculations!$A$352:$A$407,MATCH(LARGE(Calculations!$C$352:$C$407,11),Calculations!$C$352:$C$407,0))</f>
        <v>#REF!</v>
      </c>
      <c r="B420" s="109" t="e">
        <f t="shared" si="43"/>
        <v>#REF!</v>
      </c>
      <c r="C420" s="109"/>
    </row>
    <row r="421" spans="1:3" x14ac:dyDescent="0.35">
      <c r="A421" s="175" t="e">
        <f>INDEX(Calculations!$A$352:$A$407,MATCH(LARGE(Calculations!$C$352:$C$407,12),Calculations!$C$352:$C$407,0))</f>
        <v>#REF!</v>
      </c>
      <c r="B421" s="109" t="e">
        <f t="shared" si="43"/>
        <v>#REF!</v>
      </c>
      <c r="C421" s="109"/>
    </row>
    <row r="422" spans="1:3" x14ac:dyDescent="0.35">
      <c r="A422" s="175" t="e">
        <f>INDEX(Calculations!$A$352:$A$407,MATCH(LARGE(Calculations!$C$352:$C$407,13),Calculations!$C$352:$C$407,0))</f>
        <v>#REF!</v>
      </c>
      <c r="B422" s="109" t="e">
        <f t="shared" si="43"/>
        <v>#REF!</v>
      </c>
      <c r="C422" s="109"/>
    </row>
    <row r="423" spans="1:3" x14ac:dyDescent="0.35">
      <c r="A423" s="175" t="e">
        <f>INDEX(Calculations!$A$352:$A$407,MATCH(LARGE(Calculations!$C$352:$C$407,14),Calculations!$C$352:$C$407,0))</f>
        <v>#REF!</v>
      </c>
      <c r="B423" s="109" t="e">
        <f t="shared" si="43"/>
        <v>#REF!</v>
      </c>
      <c r="C423" s="109"/>
    </row>
    <row r="424" spans="1:3" x14ac:dyDescent="0.35">
      <c r="A424" s="175" t="e">
        <f>INDEX(Calculations!$A$352:$A$407,MATCH(LARGE(Calculations!$C$352:$C$407,15),Calculations!$C$352:$C$407,0))</f>
        <v>#REF!</v>
      </c>
      <c r="B424" s="109" t="e">
        <f t="shared" si="43"/>
        <v>#REF!</v>
      </c>
      <c r="C424" s="109"/>
    </row>
    <row r="425" spans="1:3" x14ac:dyDescent="0.35">
      <c r="A425" s="175" t="e">
        <f>INDEX(Calculations!$A$352:$A$407,MATCH(LARGE(Calculations!$C$352:$C$407,16),Calculations!$C$352:$C$407,0))</f>
        <v>#REF!</v>
      </c>
      <c r="B425" s="109" t="e">
        <f t="shared" si="43"/>
        <v>#REF!</v>
      </c>
      <c r="C425" s="109"/>
    </row>
    <row r="426" spans="1:3" x14ac:dyDescent="0.35">
      <c r="A426" s="175" t="e">
        <f>INDEX(Calculations!$A$352:$A$407,MATCH(LARGE(Calculations!$C$352:$C$407,17),Calculations!$C$352:$C$407,0))</f>
        <v>#REF!</v>
      </c>
      <c r="B426" s="109" t="e">
        <f t="shared" si="43"/>
        <v>#REF!</v>
      </c>
      <c r="C426" s="109"/>
    </row>
    <row r="427" spans="1:3" x14ac:dyDescent="0.35">
      <c r="A427" s="175" t="e">
        <f>INDEX(Calculations!$A$352:$A$407,MATCH(LARGE(Calculations!$C$352:$C$407,18),Calculations!$C$352:$C$407,0))</f>
        <v>#REF!</v>
      </c>
      <c r="B427" s="109" t="e">
        <f t="shared" si="43"/>
        <v>#REF!</v>
      </c>
      <c r="C427" s="109"/>
    </row>
    <row r="428" spans="1:3" x14ac:dyDescent="0.35">
      <c r="A428" s="175" t="e">
        <f>INDEX(Calculations!$A$352:$A$407,MATCH(LARGE(Calculations!$C$352:$C$407,19),Calculations!$C$352:$C$407,0))</f>
        <v>#REF!</v>
      </c>
      <c r="B428" s="109" t="e">
        <f t="shared" si="43"/>
        <v>#REF!</v>
      </c>
      <c r="C428" s="109"/>
    </row>
    <row r="429" spans="1:3" x14ac:dyDescent="0.35">
      <c r="A429" s="175" t="e">
        <f>INDEX(Calculations!$A$352:$A$407,MATCH(LARGE(Calculations!$C$352:$C$407,20),Calculations!$C$352:$C$407,0))</f>
        <v>#REF!</v>
      </c>
      <c r="B429" s="109" t="e">
        <f t="shared" si="43"/>
        <v>#REF!</v>
      </c>
      <c r="C429" s="109"/>
    </row>
    <row r="430" spans="1:3" x14ac:dyDescent="0.35">
      <c r="A430" s="109"/>
      <c r="B430" s="109"/>
      <c r="C430" s="109"/>
    </row>
    <row r="431" spans="1:3" x14ac:dyDescent="0.35">
      <c r="A431" s="151" t="s">
        <v>857</v>
      </c>
      <c r="B431" s="109"/>
      <c r="C431" s="109"/>
    </row>
    <row r="432" spans="1:3" x14ac:dyDescent="0.35">
      <c r="A432" s="109" t="e">
        <f>_xlfn.CONCAT(B410,B411,B412,B413,B414,B415,B416,B417,B418,B419,B420,B421,B422,B423,B424,B425,B426,B427,B428,B429)</f>
        <v>#REF!</v>
      </c>
      <c r="B432" s="109"/>
      <c r="C432" s="109"/>
    </row>
    <row r="433" spans="1:8" x14ac:dyDescent="0.35">
      <c r="A433" s="109"/>
      <c r="B433" s="109"/>
      <c r="C433" s="109"/>
    </row>
    <row r="434" spans="1:8" x14ac:dyDescent="0.35">
      <c r="A434" s="109"/>
      <c r="B434" s="109"/>
      <c r="C434" s="109"/>
    </row>
    <row r="435" spans="1:8" x14ac:dyDescent="0.35">
      <c r="A435" s="109"/>
      <c r="B435" s="109"/>
      <c r="C435" s="109"/>
    </row>
    <row r="436" spans="1:8" x14ac:dyDescent="0.35">
      <c r="A436" s="193" t="s">
        <v>858</v>
      </c>
      <c r="B436" s="109"/>
      <c r="C436" s="205"/>
      <c r="D436" s="109"/>
      <c r="E436" s="109"/>
      <c r="F436" s="109"/>
      <c r="G436" s="109"/>
      <c r="H436" s="109"/>
    </row>
    <row r="437" spans="1:8" x14ac:dyDescent="0.35">
      <c r="A437" s="109"/>
      <c r="B437" s="151" t="s">
        <v>433</v>
      </c>
      <c r="C437" s="206"/>
      <c r="D437" s="151"/>
      <c r="E437" s="151" t="s">
        <v>434</v>
      </c>
      <c r="F437" s="151"/>
      <c r="G437" s="151"/>
      <c r="H437" s="109"/>
    </row>
    <row r="438" spans="1:8" x14ac:dyDescent="0.35">
      <c r="A438" s="109"/>
      <c r="B438" s="109" t="s">
        <v>511</v>
      </c>
      <c r="C438" s="195"/>
      <c r="D438" s="195" t="s">
        <v>502</v>
      </c>
      <c r="E438" s="109" t="s">
        <v>511</v>
      </c>
      <c r="F438" s="195"/>
      <c r="G438" s="195" t="s">
        <v>502</v>
      </c>
      <c r="H438" s="109"/>
    </row>
    <row r="439" spans="1:8" x14ac:dyDescent="0.35">
      <c r="A439" s="109"/>
      <c r="B439" s="109" t="s">
        <v>514</v>
      </c>
      <c r="C439" s="109" t="s">
        <v>515</v>
      </c>
      <c r="D439" s="109" t="s">
        <v>516</v>
      </c>
      <c r="E439" s="109" t="s">
        <v>514</v>
      </c>
      <c r="F439" s="109" t="s">
        <v>515</v>
      </c>
      <c r="G439" s="109" t="s">
        <v>516</v>
      </c>
      <c r="H439" s="109"/>
    </row>
    <row r="440" spans="1:8" x14ac:dyDescent="0.35">
      <c r="A440" s="109" t="s">
        <v>142</v>
      </c>
      <c r="B440" s="198" t="e">
        <f>#REF!+#REF!+#REF!+#REF!+#REF!</f>
        <v>#REF!</v>
      </c>
      <c r="C440" s="169" t="e">
        <f>B440/$B$444</f>
        <v>#REF!</v>
      </c>
      <c r="D440" s="169"/>
      <c r="E440" s="198" t="e">
        <f>#REF!+#REF!+#REF!+#REF!+#REF!</f>
        <v>#REF!</v>
      </c>
      <c r="F440" s="169" t="e">
        <f>E440/$E$444</f>
        <v>#REF!</v>
      </c>
      <c r="G440" s="169"/>
      <c r="H440" s="196"/>
    </row>
    <row r="441" spans="1:8" x14ac:dyDescent="0.35">
      <c r="A441" s="109" t="s">
        <v>508</v>
      </c>
      <c r="B441" s="198" t="e">
        <f>#REF!+#REF!+#REF!+#REF!+#REF!+#REF!+#REF!</f>
        <v>#REF!</v>
      </c>
      <c r="C441" s="169" t="e">
        <f>B441/$B$444</f>
        <v>#REF!</v>
      </c>
      <c r="D441" s="169" t="e">
        <f>(C441*(1/(1-$C$440)))</f>
        <v>#REF!</v>
      </c>
      <c r="E441" s="198" t="e">
        <f>#REF!+#REF!+#REF!+#REF!+#REF!+#REF!+#REF!</f>
        <v>#REF!</v>
      </c>
      <c r="F441" s="169" t="e">
        <f>E441/$E$444</f>
        <v>#REF!</v>
      </c>
      <c r="G441" s="169" t="e">
        <f>(F441*(1/(1-$F$440)))</f>
        <v>#REF!</v>
      </c>
      <c r="H441" s="196"/>
    </row>
    <row r="442" spans="1:8" x14ac:dyDescent="0.35">
      <c r="A442" s="109" t="s">
        <v>509</v>
      </c>
      <c r="B442" s="198" t="e">
        <f>#REF!+#REF!+#REF!+#REF!+#REF!</f>
        <v>#REF!</v>
      </c>
      <c r="C442" s="169" t="e">
        <f>B442/$B$444</f>
        <v>#REF!</v>
      </c>
      <c r="D442" s="169" t="e">
        <f>(C442*(1/(1-$C$440)))</f>
        <v>#REF!</v>
      </c>
      <c r="E442" s="198" t="e">
        <f>#REF!+#REF!+#REF!+#REF!+#REF!</f>
        <v>#REF!</v>
      </c>
      <c r="F442" s="169" t="e">
        <f>E442/$E$444</f>
        <v>#REF!</v>
      </c>
      <c r="G442" s="169" t="e">
        <f>(F442*(1/(1-$F$440)))</f>
        <v>#REF!</v>
      </c>
      <c r="H442" s="196"/>
    </row>
    <row r="443" spans="1:8" x14ac:dyDescent="0.35">
      <c r="A443" s="109" t="s">
        <v>510</v>
      </c>
      <c r="B443" s="198" t="e">
        <f>$B444-$B442-$B441-$B440</f>
        <v>#REF!</v>
      </c>
      <c r="C443" s="169" t="e">
        <f>B443/$B$444</f>
        <v>#REF!</v>
      </c>
      <c r="D443" s="169" t="e">
        <f>B445-SUM(D441:D442)</f>
        <v>#REF!</v>
      </c>
      <c r="E443" s="198" t="e">
        <f>$E444-$E442-$E441-$E440</f>
        <v>#REF!</v>
      </c>
      <c r="F443" s="169" t="e">
        <f>E443/$E$444</f>
        <v>#REF!</v>
      </c>
      <c r="G443" s="169" t="e">
        <f>E445-SUM(G441:G442)</f>
        <v>#REF!</v>
      </c>
      <c r="H443" s="196"/>
    </row>
    <row r="444" spans="1:8" x14ac:dyDescent="0.35">
      <c r="A444" s="109" t="s">
        <v>387</v>
      </c>
      <c r="B444" s="198" t="e">
        <f>#REF!</f>
        <v>#REF!</v>
      </c>
      <c r="C444" s="169"/>
      <c r="D444" s="109"/>
      <c r="E444" s="198" t="e">
        <f>#REF!</f>
        <v>#REF!</v>
      </c>
      <c r="F444" s="169"/>
      <c r="G444" s="109"/>
      <c r="H444" s="196"/>
    </row>
    <row r="445" spans="1:8" x14ac:dyDescent="0.35">
      <c r="A445" s="109" t="s">
        <v>512</v>
      </c>
      <c r="B445" s="196">
        <f>'Census demographics'!$C$404</f>
        <v>0.31066535741599238</v>
      </c>
      <c r="C445" s="109"/>
      <c r="D445" s="109"/>
      <c r="E445" s="196">
        <f>'Census demographics'!$E$404</f>
        <v>0.21532289787447609</v>
      </c>
      <c r="F445" s="109"/>
      <c r="G445" s="109"/>
      <c r="H445" s="196"/>
    </row>
    <row r="446" spans="1:8" x14ac:dyDescent="0.35">
      <c r="A446" s="189" t="s">
        <v>513</v>
      </c>
      <c r="B446" s="190">
        <f>'Census demographics'!$C$408</f>
        <v>0.68933464258400767</v>
      </c>
      <c r="C446" s="189"/>
      <c r="D446" s="190">
        <f>B446</f>
        <v>0.68933464258400767</v>
      </c>
      <c r="E446" s="190">
        <f>'Census demographics'!$E$408</f>
        <v>0.78467710212552388</v>
      </c>
      <c r="F446" s="189"/>
      <c r="G446" s="190">
        <f>E446</f>
        <v>0.78467710212552388</v>
      </c>
      <c r="H446" s="109"/>
    </row>
    <row r="447" spans="1:8" x14ac:dyDescent="0.35">
      <c r="A447" s="109"/>
      <c r="B447" s="207"/>
      <c r="C447" s="109"/>
      <c r="D447" s="196"/>
      <c r="E447" s="207"/>
      <c r="F447" s="109"/>
      <c r="G447" s="196"/>
      <c r="H447" s="109"/>
    </row>
    <row r="448" spans="1:8" x14ac:dyDescent="0.35">
      <c r="A448" s="109"/>
      <c r="B448" s="207"/>
      <c r="C448" s="109"/>
      <c r="D448" s="196"/>
      <c r="E448" s="207"/>
      <c r="F448" s="109"/>
      <c r="G448" s="196"/>
      <c r="H448" s="109"/>
    </row>
    <row r="449" spans="1:8" x14ac:dyDescent="0.35">
      <c r="A449" s="109"/>
      <c r="B449" s="207"/>
      <c r="C449" s="109"/>
      <c r="D449" s="196"/>
      <c r="E449" s="207"/>
      <c r="F449" s="109"/>
      <c r="G449" s="196"/>
      <c r="H449" s="109"/>
    </row>
    <row r="450" spans="1:8" x14ac:dyDescent="0.35">
      <c r="A450" s="193" t="s">
        <v>832</v>
      </c>
      <c r="B450" s="109"/>
      <c r="C450" s="109"/>
      <c r="D450" s="109"/>
      <c r="E450" s="109"/>
      <c r="F450" s="109"/>
      <c r="G450" s="109"/>
      <c r="H450" s="109"/>
    </row>
    <row r="451" spans="1:8" x14ac:dyDescent="0.35">
      <c r="A451" s="182" t="s">
        <v>113</v>
      </c>
      <c r="B451" s="191" t="s">
        <v>367</v>
      </c>
      <c r="C451" s="173"/>
      <c r="D451" s="191" t="s">
        <v>368</v>
      </c>
      <c r="E451" s="191"/>
      <c r="F451" s="109"/>
      <c r="G451" s="109"/>
      <c r="H451" s="109"/>
    </row>
    <row r="452" spans="1:8" x14ac:dyDescent="0.35">
      <c r="A452" s="182"/>
      <c r="B452" s="174" t="s">
        <v>73</v>
      </c>
      <c r="C452" s="174" t="s">
        <v>74</v>
      </c>
      <c r="D452" s="174" t="s">
        <v>73</v>
      </c>
      <c r="E452" s="174" t="s">
        <v>74</v>
      </c>
      <c r="F452" s="109"/>
      <c r="G452" s="109"/>
      <c r="H452" s="109"/>
    </row>
    <row r="453" spans="1:8" x14ac:dyDescent="0.35">
      <c r="A453" s="175" t="s">
        <v>31</v>
      </c>
      <c r="B453" s="176">
        <f>'Census demographics'!B415</f>
        <v>29009</v>
      </c>
      <c r="C453" s="186">
        <f>'Census demographics'!C415</f>
        <v>0.15592045149153452</v>
      </c>
      <c r="D453" s="176">
        <f>'Census demographics'!D415</f>
        <v>200761</v>
      </c>
      <c r="E453" s="186">
        <f>'Census demographics'!E415</f>
        <v>0.19770293106232792</v>
      </c>
      <c r="F453" s="109"/>
      <c r="G453" s="109"/>
      <c r="H453" s="109"/>
    </row>
    <row r="454" spans="1:8" x14ac:dyDescent="0.35">
      <c r="A454" s="175" t="s">
        <v>622</v>
      </c>
      <c r="B454" s="176">
        <f>'Census demographics'!B416</f>
        <v>11400</v>
      </c>
      <c r="C454" s="186">
        <f>'Census demographics'!C416</f>
        <v>6.1273851115291586E-2</v>
      </c>
      <c r="D454" s="176">
        <f>'Census demographics'!D416</f>
        <v>87095</v>
      </c>
      <c r="E454" s="186">
        <f>'Census demographics'!E416</f>
        <v>8.5768335388215086E-2</v>
      </c>
      <c r="F454" s="109"/>
      <c r="G454" s="109"/>
      <c r="H454" s="109"/>
    </row>
    <row r="455" spans="1:8" x14ac:dyDescent="0.35">
      <c r="A455" s="175" t="s">
        <v>623</v>
      </c>
      <c r="B455" s="176">
        <f>'Census demographics'!B417</f>
        <v>18335</v>
      </c>
      <c r="C455" s="186">
        <f>'Census demographics'!C417</f>
        <v>9.8548777210427305E-2</v>
      </c>
      <c r="D455" s="176">
        <f>'Census demographics'!D417</f>
        <v>139276</v>
      </c>
      <c r="E455" s="186">
        <f>'Census demographics'!E417</f>
        <v>0.13715449428243923</v>
      </c>
      <c r="F455" s="109"/>
      <c r="G455" s="109"/>
      <c r="H455" s="109"/>
    </row>
    <row r="456" spans="1:8" x14ac:dyDescent="0.35">
      <c r="A456" s="175" t="s">
        <v>116</v>
      </c>
      <c r="B456" s="176">
        <f>'Census demographics'!B418</f>
        <v>6612</v>
      </c>
      <c r="C456" s="186">
        <f>'Census demographics'!C418</f>
        <v>3.553883364686912E-2</v>
      </c>
      <c r="D456" s="176">
        <f>'Census demographics'!D418</f>
        <v>49935</v>
      </c>
      <c r="E456" s="186">
        <f>'Census demographics'!E418</f>
        <v>4.917437083197107E-2</v>
      </c>
      <c r="F456" s="109"/>
      <c r="G456" s="109"/>
      <c r="H456" s="109"/>
    </row>
    <row r="457" spans="1:8" x14ac:dyDescent="0.35">
      <c r="A457" s="175" t="s">
        <v>624</v>
      </c>
      <c r="B457" s="176">
        <f>'Census demographics'!B419</f>
        <v>41107</v>
      </c>
      <c r="C457" s="186">
        <f>'Census demographics'!C419</f>
        <v>0.22094598226283257</v>
      </c>
      <c r="D457" s="176">
        <f>'Census demographics'!D419</f>
        <v>176520</v>
      </c>
      <c r="E457" s="186">
        <f>'Census demographics'!E419</f>
        <v>0.17383117931830447</v>
      </c>
      <c r="F457" s="109"/>
      <c r="G457" s="109"/>
      <c r="H457" s="109"/>
    </row>
    <row r="458" spans="1:8" x14ac:dyDescent="0.35">
      <c r="A458" s="175" t="s">
        <v>625</v>
      </c>
      <c r="B458" s="176">
        <f>'Census demographics'!B420</f>
        <v>74765</v>
      </c>
      <c r="C458" s="186">
        <f>'Census demographics'!C420</f>
        <v>0.40185434023112065</v>
      </c>
      <c r="D458" s="176">
        <f>'Census demographics'!D420</f>
        <v>334646</v>
      </c>
      <c r="E458" s="186">
        <f>'Census demographics'!E420</f>
        <v>0.32954854313479104</v>
      </c>
      <c r="F458" s="109"/>
      <c r="G458" s="109"/>
      <c r="H458" s="109"/>
    </row>
    <row r="459" spans="1:8" x14ac:dyDescent="0.35">
      <c r="A459" s="175" t="s">
        <v>32</v>
      </c>
      <c r="B459" s="176">
        <f>'Census demographics'!B421</f>
        <v>4822</v>
      </c>
      <c r="C459" s="186">
        <f>'Census demographics'!C421</f>
        <v>2.5917764041924213E-2</v>
      </c>
      <c r="D459" s="176">
        <f>'Census demographics'!D421</f>
        <v>27235</v>
      </c>
      <c r="E459" s="186">
        <f>'Census demographics'!E421</f>
        <v>2.682014598195118E-2</v>
      </c>
      <c r="F459" s="109"/>
      <c r="G459" s="109"/>
      <c r="H459" s="109"/>
    </row>
    <row r="460" spans="1:8" x14ac:dyDescent="0.35">
      <c r="A460" s="180" t="s">
        <v>30</v>
      </c>
      <c r="B460" s="175">
        <f>'Census demographics'!B422</f>
        <v>186050</v>
      </c>
      <c r="C460" s="181"/>
      <c r="D460" s="175">
        <f>'Census demographics'!D422</f>
        <v>1015468</v>
      </c>
      <c r="E460" s="175"/>
      <c r="F460" s="109"/>
      <c r="G460" s="109"/>
      <c r="H460" s="109"/>
    </row>
    <row r="461" spans="1:8" x14ac:dyDescent="0.35">
      <c r="A461" s="109"/>
      <c r="B461" s="109"/>
      <c r="C461" s="109"/>
      <c r="D461" s="109"/>
      <c r="E461" s="109"/>
      <c r="F461" s="109"/>
      <c r="G461" s="109"/>
      <c r="H461" s="109"/>
    </row>
    <row r="462" spans="1:8" x14ac:dyDescent="0.35">
      <c r="A462" s="109"/>
      <c r="B462" s="109"/>
      <c r="C462" s="109"/>
      <c r="D462" s="109"/>
      <c r="E462" s="109"/>
      <c r="F462" s="109"/>
      <c r="G462" s="109"/>
      <c r="H462" s="109"/>
    </row>
    <row r="464" spans="1:8" x14ac:dyDescent="0.35">
      <c r="A464" s="193" t="s">
        <v>638</v>
      </c>
      <c r="B464" s="109"/>
      <c r="C464" s="205"/>
      <c r="D464" s="109"/>
      <c r="E464" s="109"/>
      <c r="F464" s="109"/>
    </row>
    <row r="465" spans="1:6" x14ac:dyDescent="0.35">
      <c r="A465" s="182" t="s">
        <v>626</v>
      </c>
      <c r="B465" s="191" t="s">
        <v>367</v>
      </c>
      <c r="C465" s="191"/>
      <c r="D465" s="191" t="s">
        <v>368</v>
      </c>
      <c r="E465" s="191"/>
      <c r="F465" s="109"/>
    </row>
    <row r="466" spans="1:6" x14ac:dyDescent="0.35">
      <c r="A466" s="182"/>
      <c r="B466" s="174" t="s">
        <v>73</v>
      </c>
      <c r="C466" s="174" t="s">
        <v>74</v>
      </c>
      <c r="D466" s="174" t="s">
        <v>73</v>
      </c>
      <c r="E466" s="174" t="s">
        <v>74</v>
      </c>
      <c r="F466" s="109"/>
    </row>
    <row r="467" spans="1:6" x14ac:dyDescent="0.35">
      <c r="A467" s="175" t="str">
        <f>INDEX('Census demographics'!$A$479:$A$501,MATCH(LARGE('Census demographics'!$C$479:$C$501,1),'Census demographics'!$C$479:$C$501,0))</f>
        <v>Q: Human health and social work activities</v>
      </c>
      <c r="B467" s="176">
        <f>VLOOKUP($A467,'Census demographics'!$A$479:$E$501,2,FALSE)</f>
        <v>15709</v>
      </c>
      <c r="C467" s="186">
        <f>VLOOKUP($A467,'Census demographics'!$A$479:$E$501,3,FALSE)</f>
        <v>0.1644990366088632</v>
      </c>
      <c r="D467" s="176">
        <f>VLOOKUP($A467,'Census demographics'!$A$479:$E$501,4,FALSE)</f>
        <v>91422</v>
      </c>
      <c r="E467" s="186">
        <f>VLOOKUP($A467,'Census demographics'!$A$479:$E$501,5,FALSE)</f>
        <v>0.165585368239168</v>
      </c>
      <c r="F467" s="109"/>
    </row>
    <row r="468" spans="1:6" x14ac:dyDescent="0.35">
      <c r="A468" s="175" t="str">
        <f>INDEX('Census demographics'!$A$479:$A$501,MATCH(LARGE('Census demographics'!$C$479:$C$501,2),'Census demographics'!$C$479:$C$501,0))</f>
        <v>G: Wholesale and retail trade; repair of motor vehicles and motorcycles</v>
      </c>
      <c r="B468" s="176">
        <f>VLOOKUP($A468,'Census demographics'!$A$479:$E$501,2,FALSE)</f>
        <v>12052</v>
      </c>
      <c r="C468" s="186">
        <f>VLOOKUP($A468,'Census demographics'!$A$479:$E$501,3,FALSE)</f>
        <v>0.12620423892100194</v>
      </c>
      <c r="D468" s="176">
        <f>VLOOKUP($A468,'Census demographics'!$A$479:$E$501,4,FALSE)</f>
        <v>77876</v>
      </c>
      <c r="E468" s="186">
        <f>VLOOKUP($A468,'Census demographics'!$A$479:$E$501,5,FALSE)</f>
        <v>0.14105058013381294</v>
      </c>
      <c r="F468" s="109"/>
    </row>
    <row r="469" spans="1:6" x14ac:dyDescent="0.35">
      <c r="A469" s="175" t="str">
        <f>INDEX('Census demographics'!$A$479:$A$501,MATCH(LARGE('Census demographics'!$C$479:$C$501,3),'Census demographics'!$C$479:$C$501,0))</f>
        <v>P: Education</v>
      </c>
      <c r="B469" s="176">
        <f>VLOOKUP($A469,'Census demographics'!$A$479:$E$501,2,FALSE)</f>
        <v>11293</v>
      </c>
      <c r="C469" s="186">
        <f>VLOOKUP($A469,'Census demographics'!$A$479:$E$501,3,FALSE)</f>
        <v>0.1182562620423892</v>
      </c>
      <c r="D469" s="176">
        <f>VLOOKUP($A469,'Census demographics'!$A$479:$E$501,4,FALSE)</f>
        <v>54776</v>
      </c>
      <c r="E469" s="186">
        <f>VLOOKUP($A469,'Census demographics'!$A$479:$E$501,5,FALSE)</f>
        <v>9.9211394748186063E-2</v>
      </c>
      <c r="F469" s="109"/>
    </row>
    <row r="470" spans="1:6" x14ac:dyDescent="0.35">
      <c r="A470" s="175" t="str">
        <f>INDEX('Census demographics'!$A$479:$A$501,MATCH(LARGE('Census demographics'!$C$479:$C$501,4),'Census demographics'!$C$479:$C$501,0))</f>
        <v>O: Public administration and defence; compulsory social security</v>
      </c>
      <c r="B470" s="176">
        <f>VLOOKUP($A470,'Census demographics'!$A$479:$E$501,2,FALSE)</f>
        <v>8474</v>
      </c>
      <c r="C470" s="186">
        <f>VLOOKUP($A470,'Census demographics'!$A$479:$E$501,3,FALSE)</f>
        <v>8.8736701013655023E-2</v>
      </c>
      <c r="D470" s="176">
        <f>VLOOKUP($A470,'Census demographics'!$A$479:$E$501,4,FALSE)</f>
        <v>54343</v>
      </c>
      <c r="E470" s="186">
        <f>VLOOKUP($A470,'Census demographics'!$A$479:$E$501,5,FALSE)</f>
        <v>9.8427136424723879E-2</v>
      </c>
      <c r="F470" s="109"/>
    </row>
    <row r="471" spans="1:6" x14ac:dyDescent="0.35">
      <c r="A471" s="175" t="str">
        <f>INDEX('Census demographics'!$A$479:$A$501,MATCH(LARGE('Census demographics'!$C$479:$C$501,5),'Census demographics'!$C$479:$C$501,0))</f>
        <v>M: Professional, scientific and technical activities</v>
      </c>
      <c r="B471" s="176">
        <f>VLOOKUP($A471,'Census demographics'!$A$479:$E$501,2,FALSE)</f>
        <v>6893</v>
      </c>
      <c r="C471" s="186">
        <f>VLOOKUP($A471,'Census demographics'!$A$479:$E$501,3,FALSE)</f>
        <v>7.2181033760576357E-2</v>
      </c>
      <c r="D471" s="176">
        <f>VLOOKUP($A471,'Census demographics'!$A$479:$E$501,4,FALSE)</f>
        <v>28502</v>
      </c>
      <c r="E471" s="186">
        <f>VLOOKUP($A471,'Census demographics'!$A$479:$E$501,5,FALSE)</f>
        <v>5.1623396617365251E-2</v>
      </c>
      <c r="F471" s="109"/>
    </row>
    <row r="472" spans="1:6" x14ac:dyDescent="0.35">
      <c r="A472" s="175" t="str">
        <f>INDEX('Census demographics'!$A$479:$A$501,MATCH(LARGE('Census demographics'!$C$479:$C$501,6),'Census demographics'!$C$479:$C$501,0))</f>
        <v>I: Accommodation and food service activities</v>
      </c>
      <c r="B472" s="176">
        <f>VLOOKUP($A472,'Census demographics'!$A$479:$E$501,2,FALSE)</f>
        <v>6525</v>
      </c>
      <c r="C472" s="186">
        <f>VLOOKUP($A472,'Census demographics'!$A$479:$E$501,3,FALSE)</f>
        <v>6.8327469213370198E-2</v>
      </c>
      <c r="D472" s="176">
        <f>VLOOKUP($A472,'Census demographics'!$A$479:$E$501,4,FALSE)</f>
        <v>26257</v>
      </c>
      <c r="E472" s="186">
        <f>VLOOKUP($A472,'Census demographics'!$A$479:$E$501,5,FALSE)</f>
        <v>4.755720738832922E-2</v>
      </c>
      <c r="F472" s="109"/>
    </row>
    <row r="473" spans="1:6" x14ac:dyDescent="0.35">
      <c r="A473" s="175" t="str">
        <f>INDEX('Census demographics'!$A$479:$A$501,MATCH(LARGE('Census demographics'!$C$479:$C$501,7),'Census demographics'!$C$479:$C$501,0))</f>
        <v>J: Information and communication</v>
      </c>
      <c r="B473" s="176">
        <f>VLOOKUP($A473,'Census demographics'!$A$479:$E$501,2,FALSE)</f>
        <v>5304</v>
      </c>
      <c r="C473" s="186">
        <f>VLOOKUP($A473,'Census demographics'!$A$479:$E$501,3,FALSE)</f>
        <v>5.5541593365167126E-2</v>
      </c>
      <c r="D473" s="176">
        <f>VLOOKUP($A473,'Census demographics'!$A$479:$E$501,4,FALSE)</f>
        <v>19487</v>
      </c>
      <c r="E473" s="186">
        <f>VLOOKUP($A473,'Census demographics'!$A$479:$E$501,5,FALSE)</f>
        <v>3.5295246996091385E-2</v>
      </c>
      <c r="F473" s="109"/>
    </row>
    <row r="474" spans="1:6" x14ac:dyDescent="0.35">
      <c r="A474" s="175" t="str">
        <f>INDEX('Census demographics'!$A$479:$A$501,MATCH(LARGE('Census demographics'!$C$479:$C$501,8),'Census demographics'!$C$479:$C$501,0))</f>
        <v>K: Financial and insurance activities</v>
      </c>
      <c r="B474" s="176">
        <f>VLOOKUP($A474,'Census demographics'!$A$479:$E$501,2,FALSE)</f>
        <v>4907</v>
      </c>
      <c r="C474" s="186">
        <f>VLOOKUP($A474,'Census demographics'!$A$479:$E$501,3,FALSE)</f>
        <v>5.1384351177012649E-2</v>
      </c>
      <c r="D474" s="176">
        <f>VLOOKUP($A474,'Census demographics'!$A$479:$E$501,4,FALSE)</f>
        <v>22460</v>
      </c>
      <c r="E474" s="186">
        <f>VLOOKUP($A474,'Census demographics'!$A$479:$E$501,5,FALSE)</f>
        <v>4.0680004491825961E-2</v>
      </c>
      <c r="F474" s="109"/>
    </row>
    <row r="475" spans="1:6" x14ac:dyDescent="0.35">
      <c r="A475" s="175" t="str">
        <f>INDEX('Census demographics'!$A$479:$A$501,MATCH(LARGE('Census demographics'!$C$479:$C$501,9),'Census demographics'!$C$479:$C$501,0))</f>
        <v>F: Construction</v>
      </c>
      <c r="B475" s="176">
        <f>VLOOKUP($A475,'Census demographics'!$A$479:$E$501,2,FALSE)</f>
        <v>4616</v>
      </c>
      <c r="C475" s="186">
        <f>VLOOKUP($A475,'Census demographics'!$A$479:$E$501,3,FALSE)</f>
        <v>4.8337103124738212E-2</v>
      </c>
      <c r="D475" s="176">
        <f>VLOOKUP($A475,'Census demographics'!$A$479:$E$501,4,FALSE)</f>
        <v>43383</v>
      </c>
      <c r="E475" s="186">
        <f>VLOOKUP($A475,'Census demographics'!$A$479:$E$501,5,FALSE)</f>
        <v>7.8576163618383155E-2</v>
      </c>
      <c r="F475" s="109"/>
    </row>
    <row r="476" spans="1:6" x14ac:dyDescent="0.35">
      <c r="A476" s="175" t="str">
        <f>INDEX('Census demographics'!$A$479:$A$501,MATCH(LARGE('Census demographics'!$C$479:$C$501,10),'Census demographics'!$C$479:$C$501,0))</f>
        <v>N: Administrative and support service activities</v>
      </c>
      <c r="B476" s="176">
        <f>VLOOKUP($A476,'Census demographics'!$A$479:$E$501,2,FALSE)</f>
        <v>4259</v>
      </c>
      <c r="C476" s="186">
        <f>VLOOKUP($A476,'Census demographics'!$A$479:$E$501,3,FALSE)</f>
        <v>4.4598726648236574E-2</v>
      </c>
      <c r="D476" s="176">
        <f>VLOOKUP($A476,'Census demographics'!$A$479:$E$501,4,FALSE)</f>
        <v>23625</v>
      </c>
      <c r="E476" s="186">
        <f>VLOOKUP($A476,'Census demographics'!$A$479:$E$501,5,FALSE)</f>
        <v>4.2790075962572949E-2</v>
      </c>
      <c r="F476" s="109"/>
    </row>
    <row r="477" spans="1:6" x14ac:dyDescent="0.35">
      <c r="A477" s="152"/>
      <c r="B477" s="164"/>
      <c r="C477" s="165"/>
      <c r="D477" s="164"/>
      <c r="E477" s="165"/>
      <c r="F477" s="109"/>
    </row>
    <row r="478" spans="1:6" x14ac:dyDescent="0.35">
      <c r="A478" s="152"/>
      <c r="B478" s="164"/>
      <c r="C478" s="165"/>
      <c r="D478" s="164"/>
      <c r="E478" s="165"/>
      <c r="F478" s="109"/>
    </row>
    <row r="479" spans="1:6" x14ac:dyDescent="0.35">
      <c r="A479" s="152"/>
      <c r="B479" s="164"/>
      <c r="C479" s="165"/>
      <c r="D479" s="164"/>
      <c r="E479" s="165"/>
      <c r="F479" s="109"/>
    </row>
    <row r="480" spans="1:6" x14ac:dyDescent="0.35">
      <c r="A480" s="152"/>
      <c r="B480" s="164"/>
      <c r="C480" s="165"/>
      <c r="D480" s="164"/>
      <c r="E480" s="165"/>
      <c r="F480" s="109"/>
    </row>
    <row r="481" spans="1:6" x14ac:dyDescent="0.35">
      <c r="A481" s="152"/>
      <c r="B481" s="164"/>
      <c r="C481" s="165"/>
      <c r="D481" s="164"/>
      <c r="E481" s="165"/>
      <c r="F481" s="109"/>
    </row>
    <row r="482" spans="1:6" x14ac:dyDescent="0.35">
      <c r="A482" s="152"/>
      <c r="B482" s="164"/>
      <c r="C482" s="165"/>
      <c r="D482" s="164"/>
      <c r="E482" s="165"/>
      <c r="F482" s="109"/>
    </row>
    <row r="483" spans="1:6" x14ac:dyDescent="0.35">
      <c r="A483" s="152"/>
      <c r="B483" s="164"/>
      <c r="C483" s="165"/>
      <c r="D483" s="164"/>
      <c r="E483" s="165"/>
      <c r="F483" s="109"/>
    </row>
    <row r="484" spans="1:6" x14ac:dyDescent="0.35">
      <c r="A484" s="152"/>
      <c r="B484" s="164"/>
      <c r="C484" s="165"/>
      <c r="D484" s="164"/>
      <c r="E484" s="165"/>
      <c r="F484" s="109"/>
    </row>
  </sheetData>
  <mergeCells count="10">
    <mergeCell ref="B255:C255"/>
    <mergeCell ref="D255:E255"/>
    <mergeCell ref="B351:C351"/>
    <mergeCell ref="D351:E351"/>
    <mergeCell ref="B181:C181"/>
    <mergeCell ref="D181:E181"/>
    <mergeCell ref="B195:C195"/>
    <mergeCell ref="D195:E195"/>
    <mergeCell ref="B207:C207"/>
    <mergeCell ref="D207:E207"/>
  </mergeCells>
  <conditionalFormatting sqref="F158:F165">
    <cfRule type="cellIs" dxfId="3" priority="4" operator="greaterThan">
      <formula>110</formula>
    </cfRule>
    <cfRule type="cellIs" dxfId="2" priority="5" operator="lessThan">
      <formula>90</formula>
    </cfRule>
  </conditionalFormatting>
  <conditionalFormatting sqref="G158:G165">
    <cfRule type="expression" dxfId="1" priority="1">
      <formula>AND(F158&gt;=110,(C158-E158&gt;=0.05),$B$95&gt;0,$D$95&gt;0)</formula>
    </cfRule>
    <cfRule type="expression" dxfId="0" priority="2">
      <formula>AND(F158&lt;=90,(E158-C158&gt;=0.05),$B$95&gt;0,$D$95&gt;0)</formula>
    </cfRule>
    <cfRule type="dataBar" priority="3">
      <dataBar showValue="0">
        <cfvo type="num" val="-100"/>
        <cfvo type="num" val="200"/>
        <color theme="6"/>
      </dataBar>
      <extLst>
        <ext xmlns:x14="http://schemas.microsoft.com/office/spreadsheetml/2009/9/main" uri="{B025F937-C7B1-47D3-B67F-A62EFF666E3E}">
          <x14:id>{993C6680-EC11-4E13-B4A9-A096E60E6E50}</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993C6680-EC11-4E13-B4A9-A096E60E6E50}">
            <x14:dataBar minLength="0" maxLength="100" gradient="0">
              <x14:cfvo type="num">
                <xm:f>-100</xm:f>
              </x14:cfvo>
              <x14:cfvo type="num">
                <xm:f>200</xm:f>
              </x14:cfvo>
              <x14:negativeFillColor theme="7"/>
              <x14:axisColor rgb="FF000000"/>
            </x14:dataBar>
          </x14:cfRule>
          <xm:sqref>G158:G165</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16E074414E994589950CC61AABFFF5" ma:contentTypeVersion="18" ma:contentTypeDescription="Create a new document." ma:contentTypeScope="" ma:versionID="bd3f53ac8847b016965945d75ba28dbc">
  <xsd:schema xmlns:xsd="http://www.w3.org/2001/XMLSchema" xmlns:xs="http://www.w3.org/2001/XMLSchema" xmlns:p="http://schemas.microsoft.com/office/2006/metadata/properties" xmlns:ns2="7f796f90-8456-46f7-93be-f9597a47922b" xmlns:ns3="4c91939a-e0c4-4a92-a2b4-11595442bae2" targetNamespace="http://schemas.microsoft.com/office/2006/metadata/properties" ma:root="true" ma:fieldsID="3998ecbdb85f24e2e70827031df721c4" ns2:_="" ns3:_="">
    <xsd:import namespace="7f796f90-8456-46f7-93be-f9597a47922b"/>
    <xsd:import namespace="4c91939a-e0c4-4a92-a2b4-11595442bae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796f90-8456-46f7-93be-f9597a47922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2" nillable="true" ma:displayName="Taxonomy Catch All Column" ma:hidden="true" ma:list="{85aa5553-05cd-495f-a8cd-c90720b9ab52}" ma:internalName="TaxCatchAll" ma:showField="CatchAllData" ma:web="7f796f90-8456-46f7-93be-f9597a47922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c91939a-e0c4-4a92-a2b4-11595442bae2"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c2615db-15a1-41f7-8c37-85d64f6de7f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c91939a-e0c4-4a92-a2b4-11595442bae2">
      <Terms xmlns="http://schemas.microsoft.com/office/infopath/2007/PartnerControls"/>
    </lcf76f155ced4ddcb4097134ff3c332f>
    <TaxCatchAll xmlns="7f796f90-8456-46f7-93be-f9597a47922b" xsi:nil="true"/>
  </documentManagement>
</p:properties>
</file>

<file path=customXml/itemProps1.xml><?xml version="1.0" encoding="utf-8"?>
<ds:datastoreItem xmlns:ds="http://schemas.openxmlformats.org/officeDocument/2006/customXml" ds:itemID="{BEEEC4B9-3ABA-4D0E-953F-9AC0183349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796f90-8456-46f7-93be-f9597a47922b"/>
    <ds:schemaRef ds:uri="4c91939a-e0c4-4a92-a2b4-11595442ba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792B71-A043-458C-A2FD-7D8E782A0EA5}">
  <ds:schemaRefs>
    <ds:schemaRef ds:uri="http://schemas.microsoft.com/sharepoint/v3/contenttype/forms"/>
  </ds:schemaRefs>
</ds:datastoreItem>
</file>

<file path=customXml/itemProps3.xml><?xml version="1.0" encoding="utf-8"?>
<ds:datastoreItem xmlns:ds="http://schemas.openxmlformats.org/officeDocument/2006/customXml" ds:itemID="{B1190DB5-2B53-46B8-84AD-7E811CAB3FF6}">
  <ds:schemaRefs>
    <ds:schemaRef ds:uri="http://purl.org/dc/dcmitype/"/>
    <ds:schemaRef ds:uri="http://schemas.microsoft.com/office/infopath/2007/PartnerControls"/>
    <ds:schemaRef ds:uri="http://schemas.microsoft.com/office/2006/metadata/properties"/>
    <ds:schemaRef ds:uri="http://www.w3.org/XML/1998/namespace"/>
    <ds:schemaRef ds:uri="http://schemas.microsoft.com/office/2006/documentManagement/types"/>
    <ds:schemaRef ds:uri="http://purl.org/dc/terms/"/>
    <ds:schemaRef ds:uri="http://purl.org/dc/elements/1.1/"/>
    <ds:schemaRef ds:uri="http://schemas.openxmlformats.org/package/2006/metadata/core-properties"/>
    <ds:schemaRef ds:uri="4c91939a-e0c4-4a92-a2b4-11595442bae2"/>
    <ds:schemaRef ds:uri="7f796f90-8456-46f7-93be-f9597a4792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Introduction</vt:lpstr>
      <vt:lpstr>Segmentation</vt:lpstr>
      <vt:lpstr>Census demographics</vt:lpstr>
      <vt:lpstr>LMSE</vt:lpstr>
      <vt:lpstr>Disclaimer</vt:lpstr>
      <vt:lpstr>Calculations</vt:lpstr>
      <vt:lpstr>'Census demographics'!Print_Area</vt:lpstr>
      <vt:lpstr>Disclaimer!Print_Area</vt:lpstr>
      <vt:lpstr>Introduction!Print_Area</vt:lpstr>
      <vt:lpstr>LMSE!Print_Area</vt:lpstr>
      <vt:lpstr>Segmentation!Print_Area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Meg Bradbury</dc:creator>
  <cp:keywords/>
  <dc:description/>
  <cp:lastModifiedBy>Megan Tripp</cp:lastModifiedBy>
  <cp:revision/>
  <cp:lastPrinted>2024-05-20T11:57:00Z</cp:lastPrinted>
  <dcterms:created xsi:type="dcterms:W3CDTF">2016-05-11T11:47:29Z</dcterms:created>
  <dcterms:modified xsi:type="dcterms:W3CDTF">2024-06-05T10:01:47Z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0x0101007616E074414E994589950CC61AABFFF5</vt:lpwstr>
  </property>
  <property fmtid="{D5CDD505-2E9C-101B-9397-08002B2CF9AE}" pid="3" name="AuthorIds_UIVersion_512">
    <vt:lpwstr>21</vt:lpwstr>
  </property>
  <property fmtid="{D5CDD505-2E9C-101B-9397-08002B2CF9AE}" pid="4" name="TaxKeyword">
    <vt:lpwstr/>
  </property>
  <property fmtid="{D5CDD505-2E9C-101B-9397-08002B2CF9AE}" pid="5" name="MediaServiceImageTags">
    <vt:lpwstr/>
  </property>
</Properties>
</file>